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00"/>
  </bookViews>
  <sheets>
    <sheet name="Frontsheet" sheetId="6" r:id="rId1"/>
    <sheet name="Business Model" sheetId="1" r:id="rId2"/>
    <sheet name="Cap Table" sheetId="10" r:id="rId3"/>
    <sheet name="Summary BP" sheetId="5" r:id="rId4"/>
    <sheet name="Business Plan Detailed" sheetId="2" r:id="rId5"/>
    <sheet name="HMB" sheetId="9" state="hidden" r:id="rId6"/>
    <sheet name="Headcount Cost Assumptions" sheetId="4" state="hidden" r:id="rId7"/>
  </sheets>
  <definedNames>
    <definedName name="A" localSheetId="1">16</definedName>
    <definedName name="A" localSheetId="4">16</definedName>
    <definedName name="A" localSheetId="2">16</definedName>
    <definedName name="A" localSheetId="0">16</definedName>
    <definedName name="A" localSheetId="6">16</definedName>
    <definedName name="A" localSheetId="5">16</definedName>
    <definedName name="A" localSheetId="3">16</definedName>
    <definedName name="B" localSheetId="1">28</definedName>
    <definedName name="B" localSheetId="4">28</definedName>
    <definedName name="B" localSheetId="2">28</definedName>
    <definedName name="B" localSheetId="0">28</definedName>
    <definedName name="B" localSheetId="6">28</definedName>
    <definedName name="B" localSheetId="5">28</definedName>
    <definedName name="B" localSheetId="3">28</definedName>
    <definedName name="BenoemdBereik1" localSheetId="2">#REF!</definedName>
    <definedName name="BenoemdBereik1" localSheetId="5">#REF!</definedName>
    <definedName name="BenoemdBereik1">#REF!</definedName>
    <definedName name="CP" localSheetId="1">14</definedName>
    <definedName name="CP" localSheetId="4">14</definedName>
    <definedName name="CP" localSheetId="2">14</definedName>
    <definedName name="CP" localSheetId="0">14</definedName>
    <definedName name="CP" localSheetId="6">14</definedName>
    <definedName name="CP" localSheetId="5">14</definedName>
    <definedName name="CP" localSheetId="3">14</definedName>
    <definedName name="_xlnm.Criteria" localSheetId="2">#REF!</definedName>
    <definedName name="_xlnm.Criteria" localSheetId="0">#REF!</definedName>
    <definedName name="_xlnm.Criteria">#REF!</definedName>
    <definedName name="CV" localSheetId="1">15</definedName>
    <definedName name="CV" localSheetId="4">15</definedName>
    <definedName name="CV" localSheetId="2">15</definedName>
    <definedName name="CV" localSheetId="0">15</definedName>
    <definedName name="CV" localSheetId="6">15</definedName>
    <definedName name="CV" localSheetId="5">15</definedName>
    <definedName name="CV" localSheetId="3">15</definedName>
    <definedName name="D" localSheetId="1">4</definedName>
    <definedName name="D" localSheetId="4">4</definedName>
    <definedName name="D" localSheetId="2">4</definedName>
    <definedName name="D" localSheetId="0">4</definedName>
    <definedName name="D" localSheetId="6">4</definedName>
    <definedName name="D" localSheetId="5">4</definedName>
    <definedName name="D" localSheetId="3">4</definedName>
    <definedName name="GA" localSheetId="1">17</definedName>
    <definedName name="GA" localSheetId="4">17</definedName>
    <definedName name="GA" localSheetId="2">17</definedName>
    <definedName name="GA" localSheetId="0">17</definedName>
    <definedName name="GA" localSheetId="6">17</definedName>
    <definedName name="GA" localSheetId="5">17</definedName>
    <definedName name="GA" localSheetId="3">17</definedName>
    <definedName name="H" localSheetId="1">3</definedName>
    <definedName name="H" localSheetId="4">3</definedName>
    <definedName name="H" localSheetId="2">3</definedName>
    <definedName name="H" localSheetId="0">3</definedName>
    <definedName name="H" localSheetId="6">3</definedName>
    <definedName name="H" localSheetId="5">3</definedName>
    <definedName name="H" localSheetId="3">3</definedName>
    <definedName name="K" localSheetId="1">12</definedName>
    <definedName name="K" localSheetId="4">12</definedName>
    <definedName name="K" localSheetId="2">12</definedName>
    <definedName name="K" localSheetId="0">12</definedName>
    <definedName name="K" localSheetId="6">12</definedName>
    <definedName name="K" localSheetId="5">12</definedName>
    <definedName name="K" localSheetId="3">12</definedName>
    <definedName name="KB" localSheetId="1">21</definedName>
    <definedName name="KB" localSheetId="4">21</definedName>
    <definedName name="KB" localSheetId="2">21</definedName>
    <definedName name="KB" localSheetId="0">21</definedName>
    <definedName name="KB" localSheetId="6">21</definedName>
    <definedName name="KB" localSheetId="5">21</definedName>
    <definedName name="KB" localSheetId="3">21</definedName>
    <definedName name="MATERIAAL" localSheetId="2">#REF!</definedName>
    <definedName name="MATERIAAL">#REF!</definedName>
    <definedName name="Medium" localSheetId="2">#REF!</definedName>
    <definedName name="Medium" localSheetId="0">#REF!</definedName>
    <definedName name="Medium">#REF!</definedName>
    <definedName name="MU" localSheetId="1">13</definedName>
    <definedName name="MU" localSheetId="4">13</definedName>
    <definedName name="MU" localSheetId="2">13</definedName>
    <definedName name="MU" localSheetId="0">13</definedName>
    <definedName name="MU" localSheetId="6">13</definedName>
    <definedName name="MU" localSheetId="5">13</definedName>
    <definedName name="MU" localSheetId="3">13</definedName>
    <definedName name="MW" localSheetId="1">29</definedName>
    <definedName name="MW" localSheetId="4">29</definedName>
    <definedName name="MW" localSheetId="2">29</definedName>
    <definedName name="MW" localSheetId="0">29</definedName>
    <definedName name="MW" localSheetId="6">29</definedName>
    <definedName name="MW" localSheetId="5">29</definedName>
    <definedName name="MW" localSheetId="3">29</definedName>
    <definedName name="NU" localSheetId="1">20</definedName>
    <definedName name="NU" localSheetId="4">20</definedName>
    <definedName name="NU" localSheetId="2">20</definedName>
    <definedName name="NU" localSheetId="0">20</definedName>
    <definedName name="NU" localSheetId="6">20</definedName>
    <definedName name="NU" localSheetId="5">20</definedName>
    <definedName name="NU" localSheetId="3">20</definedName>
    <definedName name="P" localSheetId="1">1</definedName>
    <definedName name="P" localSheetId="4">1</definedName>
    <definedName name="P" localSheetId="2">1</definedName>
    <definedName name="P" localSheetId="0">1</definedName>
    <definedName name="P" localSheetId="6">1</definedName>
    <definedName name="P" localSheetId="5">1</definedName>
    <definedName name="P" localSheetId="3">1</definedName>
    <definedName name="PC" localSheetId="1">30</definedName>
    <definedName name="PC" localSheetId="4">30</definedName>
    <definedName name="PC" localSheetId="2">30</definedName>
    <definedName name="PC" localSheetId="0">30</definedName>
    <definedName name="PC" localSheetId="6">30</definedName>
    <definedName name="PC" localSheetId="5">30</definedName>
    <definedName name="PC" localSheetId="3">30</definedName>
    <definedName name="PH" localSheetId="1">11</definedName>
    <definedName name="PH" localSheetId="4">11</definedName>
    <definedName name="PH" localSheetId="2">11</definedName>
    <definedName name="PH" localSheetId="0">11</definedName>
    <definedName name="PH" localSheetId="6">11</definedName>
    <definedName name="PH" localSheetId="5">11</definedName>
    <definedName name="PH" localSheetId="3">11</definedName>
    <definedName name="PR" localSheetId="1">18</definedName>
    <definedName name="PR" localSheetId="4">18</definedName>
    <definedName name="PR" localSheetId="2">18</definedName>
    <definedName name="PR" localSheetId="0">18</definedName>
    <definedName name="PR" localSheetId="6">18</definedName>
    <definedName name="PR" localSheetId="5">18</definedName>
    <definedName name="PR" localSheetId="3">18</definedName>
    <definedName name="_xlnm.Print_Area" localSheetId="0">Frontsheet!$A$3:$DF$49</definedName>
    <definedName name="_xlnm.Print_Area" localSheetId="3">'Summary BP'!$G$8:$W$83</definedName>
    <definedName name="PSAT" localSheetId="1">23</definedName>
    <definedName name="PSAT" localSheetId="4">23</definedName>
    <definedName name="PSAT" localSheetId="2">23</definedName>
    <definedName name="PSAT" localSheetId="0">23</definedName>
    <definedName name="PSAT" localSheetId="6">23</definedName>
    <definedName name="PSAT" localSheetId="5">23</definedName>
    <definedName name="PSAT" localSheetId="3">23</definedName>
    <definedName name="S" localSheetId="1">6</definedName>
    <definedName name="S" localSheetId="4">6</definedName>
    <definedName name="S" localSheetId="2">6</definedName>
    <definedName name="S" localSheetId="0">6</definedName>
    <definedName name="S" localSheetId="6">6</definedName>
    <definedName name="S" localSheetId="5">6</definedName>
    <definedName name="S" localSheetId="3">6</definedName>
    <definedName name="SATL" localSheetId="1">9</definedName>
    <definedName name="SATL" localSheetId="4">9</definedName>
    <definedName name="SATL" localSheetId="2">9</definedName>
    <definedName name="SATL" localSheetId="0">9</definedName>
    <definedName name="SATL" localSheetId="6">9</definedName>
    <definedName name="SATL" localSheetId="5">9</definedName>
    <definedName name="SATL" localSheetId="3">9</definedName>
    <definedName name="SATV" localSheetId="1">10</definedName>
    <definedName name="SATV" localSheetId="4">10</definedName>
    <definedName name="SATV" localSheetId="2">10</definedName>
    <definedName name="SATV" localSheetId="0">10</definedName>
    <definedName name="SATV" localSheetId="6">10</definedName>
    <definedName name="SATV" localSheetId="5">10</definedName>
    <definedName name="SATV" localSheetId="3">10</definedName>
    <definedName name="ST" localSheetId="1">27</definedName>
    <definedName name="ST" localSheetId="4">27</definedName>
    <definedName name="ST" localSheetId="2">27</definedName>
    <definedName name="ST" localSheetId="0">27</definedName>
    <definedName name="ST" localSheetId="6">27</definedName>
    <definedName name="ST" localSheetId="5">27</definedName>
    <definedName name="ST" localSheetId="3">27</definedName>
    <definedName name="T" localSheetId="1">2</definedName>
    <definedName name="T" localSheetId="4">2</definedName>
    <definedName name="T" localSheetId="2">2</definedName>
    <definedName name="T" localSheetId="0">2</definedName>
    <definedName name="T" localSheetId="6">2</definedName>
    <definedName name="T" localSheetId="5">2</definedName>
    <definedName name="T" localSheetId="3">2</definedName>
    <definedName name="TC" localSheetId="1">31</definedName>
    <definedName name="TC" localSheetId="4">31</definedName>
    <definedName name="TC" localSheetId="2">31</definedName>
    <definedName name="TC" localSheetId="0">31</definedName>
    <definedName name="TC" localSheetId="6">31</definedName>
    <definedName name="TC" localSheetId="5">31</definedName>
    <definedName name="TC" localSheetId="3">31</definedName>
    <definedName name="TEST" localSheetId="2">#REF!</definedName>
    <definedName name="TEST" localSheetId="0">#REF!</definedName>
    <definedName name="TEST">#REF!</definedName>
    <definedName name="TEST1" localSheetId="2">#REF!</definedName>
    <definedName name="TEST1" localSheetId="0">#REF!</definedName>
    <definedName name="TEST1">#REF!</definedName>
    <definedName name="TSAT" localSheetId="1">22</definedName>
    <definedName name="TSAT" localSheetId="4">22</definedName>
    <definedName name="TSAT" localSheetId="2">22</definedName>
    <definedName name="TSAT" localSheetId="0">22</definedName>
    <definedName name="TSAT" localSheetId="6">22</definedName>
    <definedName name="TSAT" localSheetId="5">22</definedName>
    <definedName name="TSAT" localSheetId="3">22</definedName>
    <definedName name="TSUP" localSheetId="1">26</definedName>
    <definedName name="TSUP" localSheetId="4">26</definedName>
    <definedName name="TSUP" localSheetId="2">26</definedName>
    <definedName name="TSUP" localSheetId="0">26</definedName>
    <definedName name="TSUP" localSheetId="6">26</definedName>
    <definedName name="TSUP" localSheetId="5">26</definedName>
    <definedName name="TSUP" localSheetId="3">26</definedName>
    <definedName name="U" localSheetId="1">7</definedName>
    <definedName name="U" localSheetId="4">7</definedName>
    <definedName name="U" localSheetId="2">7</definedName>
    <definedName name="U" localSheetId="0">7</definedName>
    <definedName name="U" localSheetId="6">7</definedName>
    <definedName name="U" localSheetId="5">7</definedName>
    <definedName name="U" localSheetId="3">7</definedName>
    <definedName name="V" localSheetId="1">5</definedName>
    <definedName name="V" localSheetId="4">5</definedName>
    <definedName name="V" localSheetId="2">5</definedName>
    <definedName name="V" localSheetId="0">5</definedName>
    <definedName name="V" localSheetId="6">5</definedName>
    <definedName name="V" localSheetId="5">5</definedName>
    <definedName name="V" localSheetId="3">5</definedName>
    <definedName name="wrn.SECL413." hidden="1">{#N/A,#N/A,FALSE,"Sheet1";#N/A,#N/A,FALSE,"Sheet 2";#N/A,#N/A,FALSE,"Sheet 3"}</definedName>
    <definedName name="wrn.SECL430." hidden="1">{#N/A,#N/A,FALSE,"COVER";#N/A,#N/A,FALSE,"INDEX";#N/A,#N/A,FALSE,"A";#N/A,#N/A,FALSE,"B";#N/A,#N/A,FALSE,"C";#N/A,#N/A,FALSE,"D";#N/A,#N/A,FALSE,"E1";#N/A,#N/A,FALSE,"E2";#N/A,#N/A,FALSE,"E3";#N/A,#N/A,FALSE,"F";#N/A,#N/A,FALSE,"H";#N/A,#N/A,FALSE,"M";#N/A,#N/A,FALSE,"R";#N/A,#N/A,FALSE,"S1";#N/A,#N/A,FALSE,"S2";#N/A,#N/A,FALSE,"S3";#N/A,#N/A,FALSE,"T1";#N/A,#N/A,FALSE,"T2";#N/A,#N/A,FALSE,"V1";#N/A,#N/A,FALSE,"V2"}</definedName>
    <definedName name="wrn.SECL430E." hidden="1">{#N/A,#N/A,FALSE,"COVER";#N/A,#N/A,FALSE,"INDEX";#N/A,#N/A,FALSE,"A";#N/A,#N/A,FALSE,"B1";#N/A,#N/A,FALSE,"B2";#N/A,#N/A,FALSE,"C";#N/A,#N/A,FALSE,"D";#N/A,#N/A,FALSE,"E1";#N/A,#N/A,FALSE,"E2";#N/A,#N/A,FALSE,"E3";#N/A,#N/A,FALSE,"F";#N/A,#N/A,FALSE,"H";#N/A,#N/A,FALSE,"M";#N/A,#N/A,FALSE,"R";#N/A,#N/A,FALSE,"S1";#N/A,#N/A,FALSE,"S2";#N/A,#N/A,FALSE,"S3";#N/A,#N/A,FALSE,"T1";#N/A,#N/A,FALSE,"T2";#N/A,#N/A,FALSE,"V1";#N/A,#N/A,FALSE,"V2"}</definedName>
    <definedName name="X" localSheetId="1">8</definedName>
    <definedName name="X" localSheetId="4">8</definedName>
    <definedName name="X" localSheetId="2">8</definedName>
    <definedName name="X" localSheetId="0">8</definedName>
    <definedName name="X" localSheetId="6">8</definedName>
    <definedName name="X" localSheetId="5">8</definedName>
    <definedName name="X" localSheetId="3">8</definedName>
    <definedName name="Z" localSheetId="1">19</definedName>
    <definedName name="Z" localSheetId="4">19</definedName>
    <definedName name="Z" localSheetId="2">19</definedName>
    <definedName name="Z" localSheetId="0">19</definedName>
    <definedName name="Z" localSheetId="6">19</definedName>
    <definedName name="Z" localSheetId="5">19</definedName>
    <definedName name="Z" localSheetId="3">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2" i="5" l="1"/>
  <c r="U62" i="5"/>
  <c r="S62" i="5"/>
  <c r="Q62" i="5"/>
  <c r="O62" i="5"/>
  <c r="M62" i="5"/>
  <c r="K62" i="5"/>
  <c r="Q61" i="5"/>
  <c r="O61" i="5"/>
  <c r="M61" i="5"/>
  <c r="K61" i="5"/>
  <c r="W59" i="5"/>
  <c r="U59" i="5"/>
  <c r="S59" i="5"/>
  <c r="Q59" i="5"/>
  <c r="O59" i="5"/>
  <c r="M59" i="5"/>
  <c r="K59" i="5"/>
  <c r="K58" i="5"/>
  <c r="Q57" i="5"/>
  <c r="O57" i="5"/>
  <c r="M57" i="5"/>
  <c r="K57" i="5"/>
  <c r="W56" i="5"/>
  <c r="U56" i="5"/>
  <c r="S56" i="5"/>
  <c r="Q56" i="5"/>
  <c r="O56" i="5"/>
  <c r="M56" i="5"/>
  <c r="K56" i="5"/>
  <c r="I80" i="5"/>
  <c r="I79" i="5"/>
  <c r="W83" i="5"/>
  <c r="U83" i="5"/>
  <c r="S83" i="5"/>
  <c r="Q83" i="5"/>
  <c r="O83" i="5"/>
  <c r="M83" i="5"/>
  <c r="K83" i="5"/>
  <c r="I83" i="5"/>
  <c r="I57" i="5"/>
  <c r="I56" i="5"/>
  <c r="CJ112" i="2"/>
  <c r="I82" i="5"/>
  <c r="I81" i="5"/>
  <c r="I76" i="5"/>
  <c r="I75" i="5"/>
  <c r="I74" i="5"/>
  <c r="I73" i="5"/>
  <c r="I72" i="5"/>
  <c r="I71" i="5"/>
  <c r="I68" i="5"/>
  <c r="I65" i="5"/>
  <c r="I62" i="5"/>
  <c r="I61" i="5"/>
  <c r="CD112" i="2"/>
  <c r="W76" i="5"/>
  <c r="I59" i="5"/>
  <c r="Q80" i="5"/>
  <c r="O80" i="5"/>
  <c r="M80" i="5"/>
  <c r="K80" i="5"/>
  <c r="Q79" i="5"/>
  <c r="O79" i="5"/>
  <c r="M79" i="5"/>
  <c r="K79" i="5"/>
  <c r="W73" i="5"/>
  <c r="U73" i="5"/>
  <c r="S73" i="5"/>
  <c r="Q73" i="5"/>
  <c r="O73" i="5"/>
  <c r="M73" i="5"/>
  <c r="K73" i="5"/>
  <c r="W68" i="5"/>
  <c r="U68" i="5"/>
  <c r="S68" i="5"/>
  <c r="V56" i="5"/>
  <c r="T56" i="5"/>
  <c r="R56" i="5"/>
  <c r="P56" i="5"/>
  <c r="N56" i="5"/>
  <c r="L56" i="5"/>
  <c r="J56" i="5"/>
  <c r="H56" i="5"/>
  <c r="V62" i="5"/>
  <c r="T62" i="5"/>
  <c r="R62" i="5"/>
  <c r="P62" i="5"/>
  <c r="N62" i="5"/>
  <c r="L62" i="5"/>
  <c r="J62" i="5"/>
  <c r="H62" i="5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BW48" i="2"/>
  <c r="BW45" i="2"/>
  <c r="BW46" i="2"/>
  <c r="BW47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D84" i="2"/>
  <c r="W48" i="5"/>
  <c r="U48" i="5"/>
  <c r="S48" i="5"/>
  <c r="Q48" i="5"/>
  <c r="O48" i="5"/>
  <c r="M48" i="5"/>
  <c r="K48" i="5"/>
  <c r="I48" i="5"/>
  <c r="V48" i="5"/>
  <c r="V49" i="5"/>
  <c r="V50" i="5"/>
  <c r="V51" i="5"/>
  <c r="T48" i="5"/>
  <c r="T49" i="5"/>
  <c r="T50" i="5"/>
  <c r="T51" i="5"/>
  <c r="R48" i="5"/>
  <c r="R49" i="5"/>
  <c r="R50" i="5"/>
  <c r="R51" i="5"/>
  <c r="P48" i="5"/>
  <c r="P49" i="5"/>
  <c r="P50" i="5"/>
  <c r="P51" i="5"/>
  <c r="N48" i="5"/>
  <c r="N49" i="5"/>
  <c r="N50" i="5"/>
  <c r="N51" i="5"/>
  <c r="L48" i="5"/>
  <c r="L49" i="5"/>
  <c r="L50" i="5"/>
  <c r="L51" i="5"/>
  <c r="J48" i="5"/>
  <c r="J49" i="5"/>
  <c r="J50" i="5"/>
  <c r="J51" i="5"/>
  <c r="H51" i="5"/>
  <c r="H43" i="5"/>
  <c r="H44" i="5"/>
  <c r="H45" i="5"/>
  <c r="H46" i="5"/>
  <c r="H47" i="5"/>
  <c r="H48" i="5"/>
  <c r="H49" i="5"/>
  <c r="H50" i="5"/>
  <c r="D151" i="2"/>
  <c r="E151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D147" i="2"/>
  <c r="K60" i="5" l="1"/>
  <c r="O60" i="5"/>
  <c r="S60" i="5"/>
  <c r="U60" i="5"/>
  <c r="M60" i="5"/>
  <c r="W60" i="5"/>
  <c r="Q60" i="5"/>
  <c r="I60" i="5"/>
  <c r="CR77" i="2" l="1"/>
  <c r="CS77" i="2"/>
  <c r="CT77" i="2"/>
  <c r="CU77" i="2"/>
  <c r="CR74" i="2"/>
  <c r="CS74" i="2"/>
  <c r="CT74" i="2"/>
  <c r="CU74" i="2"/>
  <c r="CR73" i="2"/>
  <c r="CS73" i="2"/>
  <c r="CT73" i="2"/>
  <c r="CU73" i="2"/>
  <c r="CR72" i="2"/>
  <c r="CS72" i="2"/>
  <c r="CT72" i="2"/>
  <c r="CU72" i="2"/>
  <c r="CJ77" i="2"/>
  <c r="CK77" i="2"/>
  <c r="CL77" i="2"/>
  <c r="CM77" i="2"/>
  <c r="CN77" i="2"/>
  <c r="CO77" i="2"/>
  <c r="CP77" i="2"/>
  <c r="CJ74" i="2"/>
  <c r="CK74" i="2"/>
  <c r="CL74" i="2"/>
  <c r="CM74" i="2"/>
  <c r="CN74" i="2"/>
  <c r="CO74" i="2"/>
  <c r="CP74" i="2"/>
  <c r="CJ73" i="2"/>
  <c r="CK73" i="2"/>
  <c r="CL73" i="2"/>
  <c r="CM73" i="2"/>
  <c r="CN73" i="2"/>
  <c r="CO73" i="2"/>
  <c r="CP73" i="2"/>
  <c r="CJ72" i="2"/>
  <c r="CK72" i="2"/>
  <c r="CL72" i="2"/>
  <c r="CM72" i="2"/>
  <c r="CN72" i="2"/>
  <c r="CO72" i="2"/>
  <c r="CP72" i="2"/>
  <c r="CQ77" i="2"/>
  <c r="CQ74" i="2"/>
  <c r="CQ73" i="2"/>
  <c r="CQ72" i="2"/>
  <c r="CI77" i="2"/>
  <c r="CI74" i="2"/>
  <c r="CI73" i="2"/>
  <c r="CI72" i="2"/>
  <c r="CB77" i="2"/>
  <c r="CC77" i="2"/>
  <c r="CD77" i="2"/>
  <c r="CE77" i="2"/>
  <c r="CF77" i="2"/>
  <c r="CG77" i="2"/>
  <c r="CH77" i="2"/>
  <c r="CB74" i="2"/>
  <c r="CC74" i="2"/>
  <c r="CD74" i="2"/>
  <c r="CE74" i="2"/>
  <c r="CF74" i="2"/>
  <c r="CG74" i="2"/>
  <c r="CH74" i="2"/>
  <c r="CB73" i="2"/>
  <c r="CC73" i="2"/>
  <c r="CD73" i="2"/>
  <c r="CE73" i="2"/>
  <c r="CF73" i="2"/>
  <c r="CG73" i="2"/>
  <c r="CH73" i="2"/>
  <c r="CB72" i="2"/>
  <c r="CC72" i="2"/>
  <c r="CD72" i="2"/>
  <c r="CE72" i="2"/>
  <c r="CF72" i="2"/>
  <c r="CG72" i="2"/>
  <c r="CH72" i="2"/>
  <c r="CQ81" i="2"/>
  <c r="W80" i="5" s="1"/>
  <c r="CQ80" i="2"/>
  <c r="CQ79" i="2"/>
  <c r="CQ78" i="2"/>
  <c r="CQ76" i="2"/>
  <c r="CQ75" i="2"/>
  <c r="CQ71" i="2"/>
  <c r="CQ70" i="2"/>
  <c r="CI81" i="2"/>
  <c r="CI80" i="2"/>
  <c r="CI79" i="2"/>
  <c r="CI78" i="2"/>
  <c r="CI76" i="2"/>
  <c r="CI75" i="2"/>
  <c r="CI71" i="2"/>
  <c r="CI70" i="2"/>
  <c r="CA77" i="2"/>
  <c r="CA74" i="2"/>
  <c r="CA73" i="2"/>
  <c r="CA72" i="2"/>
  <c r="BT77" i="2"/>
  <c r="BU77" i="2"/>
  <c r="BV77" i="2"/>
  <c r="BW77" i="2"/>
  <c r="BX77" i="2"/>
  <c r="BY77" i="2"/>
  <c r="BZ77" i="2"/>
  <c r="BT74" i="2"/>
  <c r="BU74" i="2"/>
  <c r="BV74" i="2"/>
  <c r="BW74" i="2"/>
  <c r="BX74" i="2"/>
  <c r="BY74" i="2"/>
  <c r="BZ74" i="2"/>
  <c r="BT73" i="2"/>
  <c r="BU73" i="2"/>
  <c r="BV73" i="2"/>
  <c r="BW73" i="2"/>
  <c r="BX73" i="2"/>
  <c r="BY73" i="2"/>
  <c r="BZ73" i="2"/>
  <c r="BT72" i="2"/>
  <c r="BU72" i="2"/>
  <c r="BV72" i="2"/>
  <c r="BW72" i="2"/>
  <c r="BX72" i="2"/>
  <c r="BY72" i="2"/>
  <c r="BZ72" i="2"/>
  <c r="BS77" i="2"/>
  <c r="BS74" i="2"/>
  <c r="BS73" i="2"/>
  <c r="BS72" i="2"/>
  <c r="CA81" i="2"/>
  <c r="CA80" i="2"/>
  <c r="CA79" i="2"/>
  <c r="CA78" i="2"/>
  <c r="U57" i="5" s="1"/>
  <c r="CA76" i="2"/>
  <c r="CA75" i="2"/>
  <c r="CA71" i="2"/>
  <c r="CA70" i="2"/>
  <c r="BS75" i="2"/>
  <c r="BS81" i="2"/>
  <c r="BS80" i="2"/>
  <c r="BS79" i="2"/>
  <c r="BS78" i="2"/>
  <c r="BS76" i="2"/>
  <c r="BS71" i="2"/>
  <c r="BS70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S61" i="5" s="1"/>
  <c r="S57" i="5" l="1"/>
  <c r="W61" i="5"/>
  <c r="W57" i="5"/>
  <c r="U61" i="5"/>
  <c r="S79" i="5"/>
  <c r="S80" i="5"/>
  <c r="U79" i="5"/>
  <c r="U80" i="5"/>
  <c r="W79" i="5"/>
  <c r="CU129" i="2"/>
  <c r="CI129" i="2"/>
  <c r="BW129" i="2"/>
  <c r="BK129" i="2"/>
  <c r="AY129" i="2"/>
  <c r="O58" i="5" s="1"/>
  <c r="AM129" i="2"/>
  <c r="M58" i="5" s="1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E112" i="2"/>
  <c r="CF112" i="2"/>
  <c r="CG112" i="2"/>
  <c r="CH112" i="2"/>
  <c r="CI112" i="2"/>
  <c r="CK112" i="2"/>
  <c r="CL112" i="2"/>
  <c r="CM112" i="2"/>
  <c r="CN112" i="2"/>
  <c r="CO112" i="2"/>
  <c r="CP112" i="2"/>
  <c r="CQ112" i="2"/>
  <c r="CR112" i="2"/>
  <c r="CS112" i="2"/>
  <c r="CT112" i="2"/>
  <c r="CU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BC138" i="2"/>
  <c r="BD138" i="2"/>
  <c r="BE138" i="2"/>
  <c r="BF138" i="2"/>
  <c r="BG138" i="2"/>
  <c r="BH138" i="2"/>
  <c r="BI138" i="2"/>
  <c r="BJ138" i="2"/>
  <c r="BK138" i="2"/>
  <c r="BL138" i="2"/>
  <c r="BC137" i="2"/>
  <c r="BD137" i="2"/>
  <c r="BE137" i="2"/>
  <c r="BF137" i="2"/>
  <c r="BG137" i="2"/>
  <c r="BH137" i="2"/>
  <c r="BI137" i="2"/>
  <c r="BJ137" i="2"/>
  <c r="BK137" i="2"/>
  <c r="BL137" i="2"/>
  <c r="BB138" i="2"/>
  <c r="BB137" i="2"/>
  <c r="R56" i="9"/>
  <c r="R49" i="9"/>
  <c r="R45" i="9"/>
  <c r="F40" i="9"/>
  <c r="H19" i="9"/>
  <c r="C19" i="9"/>
  <c r="C20" i="9" s="1"/>
  <c r="C14" i="9"/>
  <c r="C16" i="9" s="1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D140" i="2"/>
  <c r="D55" i="2"/>
  <c r="U58" i="5" l="1"/>
  <c r="W58" i="5"/>
  <c r="Q58" i="5"/>
  <c r="S58" i="5"/>
  <c r="CJ128" i="2"/>
  <c r="D38" i="9"/>
  <c r="H38" i="9" s="1"/>
  <c r="Q38" i="9"/>
  <c r="R50" i="9" s="1"/>
  <c r="R47" i="9" s="1"/>
  <c r="G38" i="9" s="1"/>
  <c r="C21" i="9"/>
  <c r="C15" i="9"/>
  <c r="M81" i="5"/>
  <c r="K81" i="5"/>
  <c r="U76" i="5"/>
  <c r="S76" i="5"/>
  <c r="Q76" i="5"/>
  <c r="O76" i="5"/>
  <c r="M76" i="5"/>
  <c r="K76" i="5"/>
  <c r="V60" i="5"/>
  <c r="T60" i="5"/>
  <c r="R60" i="5"/>
  <c r="P60" i="5"/>
  <c r="N60" i="5"/>
  <c r="L60" i="5"/>
  <c r="J60" i="5"/>
  <c r="H60" i="5"/>
  <c r="V47" i="5"/>
  <c r="T47" i="5"/>
  <c r="R47" i="5"/>
  <c r="P47" i="5"/>
  <c r="N47" i="5"/>
  <c r="L47" i="5"/>
  <c r="J47" i="5"/>
  <c r="V46" i="5"/>
  <c r="T46" i="5"/>
  <c r="R46" i="5"/>
  <c r="P46" i="5"/>
  <c r="N46" i="5"/>
  <c r="L46" i="5"/>
  <c r="J46" i="5"/>
  <c r="V37" i="5"/>
  <c r="T37" i="5"/>
  <c r="R37" i="5"/>
  <c r="P37" i="5"/>
  <c r="N37" i="5"/>
  <c r="L37" i="5"/>
  <c r="J37" i="5"/>
  <c r="H37" i="5"/>
  <c r="V36" i="5"/>
  <c r="T36" i="5"/>
  <c r="R36" i="5"/>
  <c r="P36" i="5"/>
  <c r="N36" i="5"/>
  <c r="L36" i="5"/>
  <c r="J36" i="5"/>
  <c r="H36" i="5"/>
  <c r="V35" i="5"/>
  <c r="T35" i="5"/>
  <c r="R35" i="5"/>
  <c r="P35" i="5"/>
  <c r="N35" i="5"/>
  <c r="L35" i="5"/>
  <c r="J35" i="5"/>
  <c r="H35" i="5"/>
  <c r="V34" i="5"/>
  <c r="T34" i="5"/>
  <c r="R34" i="5"/>
  <c r="P34" i="5"/>
  <c r="N34" i="5"/>
  <c r="L34" i="5"/>
  <c r="J34" i="5"/>
  <c r="H34" i="5"/>
  <c r="V33" i="5"/>
  <c r="T33" i="5"/>
  <c r="R33" i="5"/>
  <c r="P33" i="5"/>
  <c r="N33" i="5"/>
  <c r="L33" i="5"/>
  <c r="J33" i="5"/>
  <c r="H33" i="5"/>
  <c r="V32" i="5"/>
  <c r="T32" i="5"/>
  <c r="R32" i="5"/>
  <c r="P32" i="5"/>
  <c r="N32" i="5"/>
  <c r="L32" i="5"/>
  <c r="J32" i="5"/>
  <c r="H32" i="5"/>
  <c r="V31" i="5"/>
  <c r="T31" i="5"/>
  <c r="R31" i="5"/>
  <c r="P31" i="5"/>
  <c r="N31" i="5"/>
  <c r="L31" i="5"/>
  <c r="J31" i="5"/>
  <c r="H31" i="5"/>
  <c r="V29" i="5"/>
  <c r="T29" i="5"/>
  <c r="R29" i="5"/>
  <c r="P29" i="5"/>
  <c r="N29" i="5"/>
  <c r="L29" i="5"/>
  <c r="J29" i="5"/>
  <c r="H29" i="5"/>
  <c r="L26" i="5"/>
  <c r="J26" i="5"/>
  <c r="H26" i="5"/>
  <c r="H25" i="5"/>
  <c r="V24" i="5"/>
  <c r="V58" i="5" s="1"/>
  <c r="T24" i="5"/>
  <c r="T58" i="5" s="1"/>
  <c r="R24" i="5"/>
  <c r="R58" i="5" s="1"/>
  <c r="P24" i="5"/>
  <c r="P58" i="5" s="1"/>
  <c r="N24" i="5"/>
  <c r="N58" i="5" s="1"/>
  <c r="L24" i="5"/>
  <c r="L58" i="5" s="1"/>
  <c r="J24" i="5"/>
  <c r="J58" i="5" s="1"/>
  <c r="H24" i="5"/>
  <c r="V64" i="5"/>
  <c r="T64" i="5"/>
  <c r="R64" i="5"/>
  <c r="P64" i="5"/>
  <c r="N64" i="5"/>
  <c r="L64" i="5"/>
  <c r="J64" i="5"/>
  <c r="H64" i="5"/>
  <c r="F5" i="4"/>
  <c r="AS202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D23" i="2" s="1"/>
  <c r="AB196" i="2"/>
  <c r="AC196" i="2" s="1"/>
  <c r="AD196" i="2" s="1"/>
  <c r="AE196" i="2" s="1"/>
  <c r="AF196" i="2" s="1"/>
  <c r="AG196" i="2" s="1"/>
  <c r="AH196" i="2" s="1"/>
  <c r="AI196" i="2" s="1"/>
  <c r="AJ196" i="2" s="1"/>
  <c r="AK196" i="2" s="1"/>
  <c r="AL196" i="2" s="1"/>
  <c r="AM196" i="2" s="1"/>
  <c r="AN196" i="2" s="1"/>
  <c r="AO196" i="2" s="1"/>
  <c r="AP196" i="2" s="1"/>
  <c r="AQ196" i="2" s="1"/>
  <c r="AR196" i="2" s="1"/>
  <c r="AS196" i="2" s="1"/>
  <c r="AT196" i="2" s="1"/>
  <c r="AU196" i="2" s="1"/>
  <c r="AV196" i="2" s="1"/>
  <c r="AW196" i="2" s="1"/>
  <c r="AX196" i="2" s="1"/>
  <c r="AY196" i="2" s="1"/>
  <c r="AZ196" i="2" s="1"/>
  <c r="BA196" i="2" s="1"/>
  <c r="BB196" i="2" s="1"/>
  <c r="BC196" i="2" s="1"/>
  <c r="BD196" i="2" s="1"/>
  <c r="BE196" i="2" s="1"/>
  <c r="BF196" i="2" s="1"/>
  <c r="BG196" i="2" s="1"/>
  <c r="BH196" i="2" s="1"/>
  <c r="BI196" i="2" s="1"/>
  <c r="BJ196" i="2" s="1"/>
  <c r="BK196" i="2" s="1"/>
  <c r="BL196" i="2" s="1"/>
  <c r="BM196" i="2" s="1"/>
  <c r="BN196" i="2" s="1"/>
  <c r="BO196" i="2" s="1"/>
  <c r="BP196" i="2" s="1"/>
  <c r="BQ196" i="2" s="1"/>
  <c r="BR196" i="2" s="1"/>
  <c r="BS196" i="2" s="1"/>
  <c r="BT196" i="2" s="1"/>
  <c r="BU196" i="2" s="1"/>
  <c r="BV196" i="2" s="1"/>
  <c r="BW196" i="2" s="1"/>
  <c r="BX196" i="2" s="1"/>
  <c r="BY196" i="2" s="1"/>
  <c r="BZ196" i="2" s="1"/>
  <c r="CA196" i="2" s="1"/>
  <c r="CB196" i="2" s="1"/>
  <c r="CC196" i="2" s="1"/>
  <c r="CD196" i="2" s="1"/>
  <c r="CE196" i="2" s="1"/>
  <c r="CF196" i="2" s="1"/>
  <c r="CG196" i="2" s="1"/>
  <c r="CH196" i="2" s="1"/>
  <c r="CI196" i="2" s="1"/>
  <c r="CJ196" i="2" s="1"/>
  <c r="CK196" i="2" s="1"/>
  <c r="CL196" i="2" s="1"/>
  <c r="CM196" i="2" s="1"/>
  <c r="CN196" i="2" s="1"/>
  <c r="CO196" i="2" s="1"/>
  <c r="CP196" i="2" s="1"/>
  <c r="CQ196" i="2" s="1"/>
  <c r="CR196" i="2" s="1"/>
  <c r="CS196" i="2" s="1"/>
  <c r="CT196" i="2" s="1"/>
  <c r="CU196" i="2" s="1"/>
  <c r="AB194" i="2"/>
  <c r="AC194" i="2" s="1"/>
  <c r="AD194" i="2" s="1"/>
  <c r="AE194" i="2" s="1"/>
  <c r="AF194" i="2" s="1"/>
  <c r="AG194" i="2" s="1"/>
  <c r="AH194" i="2" s="1"/>
  <c r="AI194" i="2" s="1"/>
  <c r="AJ194" i="2" s="1"/>
  <c r="AK194" i="2" s="1"/>
  <c r="AL194" i="2" s="1"/>
  <c r="AM194" i="2" s="1"/>
  <c r="AN194" i="2" s="1"/>
  <c r="AO194" i="2" s="1"/>
  <c r="AP194" i="2" s="1"/>
  <c r="AQ194" i="2" s="1"/>
  <c r="AR194" i="2" s="1"/>
  <c r="AS194" i="2" s="1"/>
  <c r="AT194" i="2" s="1"/>
  <c r="AU194" i="2" s="1"/>
  <c r="AV194" i="2" s="1"/>
  <c r="AW194" i="2" s="1"/>
  <c r="AX194" i="2" s="1"/>
  <c r="AY194" i="2" s="1"/>
  <c r="AZ194" i="2" s="1"/>
  <c r="BA194" i="2" s="1"/>
  <c r="BB194" i="2" s="1"/>
  <c r="BC194" i="2" s="1"/>
  <c r="BD194" i="2" s="1"/>
  <c r="BE194" i="2" s="1"/>
  <c r="BF194" i="2" s="1"/>
  <c r="BG194" i="2" s="1"/>
  <c r="BH194" i="2" s="1"/>
  <c r="BI194" i="2" s="1"/>
  <c r="BJ194" i="2" s="1"/>
  <c r="BK194" i="2" s="1"/>
  <c r="BL194" i="2" s="1"/>
  <c r="BM194" i="2" s="1"/>
  <c r="BN194" i="2" s="1"/>
  <c r="BO194" i="2" s="1"/>
  <c r="BP194" i="2" s="1"/>
  <c r="BQ194" i="2" s="1"/>
  <c r="BR194" i="2" s="1"/>
  <c r="BS194" i="2" s="1"/>
  <c r="BT194" i="2" s="1"/>
  <c r="BU194" i="2" s="1"/>
  <c r="BV194" i="2" s="1"/>
  <c r="BW194" i="2" s="1"/>
  <c r="BX194" i="2" s="1"/>
  <c r="BY194" i="2" s="1"/>
  <c r="BZ194" i="2" s="1"/>
  <c r="CA194" i="2" s="1"/>
  <c r="CB194" i="2" s="1"/>
  <c r="CC194" i="2" s="1"/>
  <c r="CD194" i="2" s="1"/>
  <c r="CE194" i="2" s="1"/>
  <c r="CF194" i="2" s="1"/>
  <c r="CG194" i="2" s="1"/>
  <c r="CH194" i="2" s="1"/>
  <c r="CI194" i="2" s="1"/>
  <c r="CJ194" i="2" s="1"/>
  <c r="CK194" i="2" s="1"/>
  <c r="CL194" i="2" s="1"/>
  <c r="CM194" i="2" s="1"/>
  <c r="CN194" i="2" s="1"/>
  <c r="CO194" i="2" s="1"/>
  <c r="CP194" i="2" s="1"/>
  <c r="CQ194" i="2" s="1"/>
  <c r="CR194" i="2" s="1"/>
  <c r="CS194" i="2" s="1"/>
  <c r="CT194" i="2" s="1"/>
  <c r="CU194" i="2" s="1"/>
  <c r="CU188" i="2"/>
  <c r="CT188" i="2"/>
  <c r="CS188" i="2"/>
  <c r="CR188" i="2"/>
  <c r="CQ188" i="2"/>
  <c r="CP188" i="2"/>
  <c r="CO188" i="2"/>
  <c r="CN188" i="2"/>
  <c r="CM188" i="2"/>
  <c r="CL188" i="2"/>
  <c r="CK188" i="2"/>
  <c r="CJ188" i="2"/>
  <c r="CI188" i="2"/>
  <c r="CH188" i="2"/>
  <c r="CG188" i="2"/>
  <c r="CF188" i="2"/>
  <c r="CE188" i="2"/>
  <c r="CD188" i="2"/>
  <c r="CC188" i="2"/>
  <c r="CB188" i="2"/>
  <c r="CA188" i="2"/>
  <c r="BZ188" i="2"/>
  <c r="BY188" i="2"/>
  <c r="BX188" i="2"/>
  <c r="BW188" i="2"/>
  <c r="BV188" i="2"/>
  <c r="BU188" i="2"/>
  <c r="BT188" i="2"/>
  <c r="BS188" i="2"/>
  <c r="BR188" i="2"/>
  <c r="BQ188" i="2"/>
  <c r="BP188" i="2"/>
  <c r="BO188" i="2"/>
  <c r="BN188" i="2"/>
  <c r="BM188" i="2"/>
  <c r="BL188" i="2"/>
  <c r="BK188" i="2"/>
  <c r="BJ188" i="2"/>
  <c r="BI188" i="2"/>
  <c r="BH188" i="2"/>
  <c r="BG188" i="2"/>
  <c r="BF188" i="2"/>
  <c r="BE188" i="2"/>
  <c r="BD188" i="2"/>
  <c r="BC188" i="2"/>
  <c r="BB188" i="2"/>
  <c r="BA188" i="2"/>
  <c r="AZ188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B186" i="2"/>
  <c r="AA185" i="2"/>
  <c r="AA22" i="2" s="1"/>
  <c r="Z185" i="2"/>
  <c r="Z22" i="2" s="1"/>
  <c r="Y185" i="2"/>
  <c r="Y22" i="2" s="1"/>
  <c r="X185" i="2"/>
  <c r="X22" i="2" s="1"/>
  <c r="W185" i="2"/>
  <c r="W22" i="2" s="1"/>
  <c r="V185" i="2"/>
  <c r="V22" i="2" s="1"/>
  <c r="U185" i="2"/>
  <c r="U22" i="2" s="1"/>
  <c r="T185" i="2"/>
  <c r="T22" i="2" s="1"/>
  <c r="S185" i="2"/>
  <c r="S22" i="2" s="1"/>
  <c r="R185" i="2"/>
  <c r="R22" i="2" s="1"/>
  <c r="Q185" i="2"/>
  <c r="Q22" i="2" s="1"/>
  <c r="P185" i="2"/>
  <c r="P22" i="2" s="1"/>
  <c r="O185" i="2"/>
  <c r="O22" i="2" s="1"/>
  <c r="N185" i="2"/>
  <c r="N22" i="2" s="1"/>
  <c r="M185" i="2"/>
  <c r="M22" i="2" s="1"/>
  <c r="L185" i="2"/>
  <c r="L22" i="2" s="1"/>
  <c r="K185" i="2"/>
  <c r="K22" i="2" s="1"/>
  <c r="J185" i="2"/>
  <c r="J22" i="2" s="1"/>
  <c r="I185" i="2"/>
  <c r="I22" i="2" s="1"/>
  <c r="H185" i="2"/>
  <c r="H22" i="2" s="1"/>
  <c r="G185" i="2"/>
  <c r="G22" i="2" s="1"/>
  <c r="F185" i="2"/>
  <c r="F22" i="2" s="1"/>
  <c r="E185" i="2"/>
  <c r="E22" i="2" s="1"/>
  <c r="D185" i="2"/>
  <c r="D22" i="2" s="1"/>
  <c r="CU178" i="2"/>
  <c r="CT178" i="2"/>
  <c r="CS178" i="2"/>
  <c r="CR178" i="2"/>
  <c r="CQ178" i="2"/>
  <c r="CP178" i="2"/>
  <c r="CO178" i="2"/>
  <c r="CN178" i="2"/>
  <c r="CM178" i="2"/>
  <c r="CL178" i="2"/>
  <c r="CK178" i="2"/>
  <c r="CJ178" i="2"/>
  <c r="CI178" i="2"/>
  <c r="CH178" i="2"/>
  <c r="CG178" i="2"/>
  <c r="CF178" i="2"/>
  <c r="CE178" i="2"/>
  <c r="CD178" i="2"/>
  <c r="CC178" i="2"/>
  <c r="CB178" i="2"/>
  <c r="CA178" i="2"/>
  <c r="BZ178" i="2"/>
  <c r="BY178" i="2"/>
  <c r="BX178" i="2"/>
  <c r="BW178" i="2"/>
  <c r="BV178" i="2"/>
  <c r="BU178" i="2"/>
  <c r="BT178" i="2"/>
  <c r="BS178" i="2"/>
  <c r="BR178" i="2"/>
  <c r="BQ178" i="2"/>
  <c r="BP178" i="2"/>
  <c r="BO178" i="2"/>
  <c r="BN178" i="2"/>
  <c r="BM178" i="2"/>
  <c r="BL178" i="2"/>
  <c r="BK178" i="2"/>
  <c r="BJ178" i="2"/>
  <c r="BI178" i="2"/>
  <c r="BH178" i="2"/>
  <c r="BG178" i="2"/>
  <c r="BF178" i="2"/>
  <c r="BE178" i="2"/>
  <c r="BD178" i="2"/>
  <c r="BC178" i="2"/>
  <c r="BB178" i="2"/>
  <c r="BA178" i="2"/>
  <c r="AZ178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D21" i="2" s="1"/>
  <c r="CU173" i="2"/>
  <c r="CT173" i="2"/>
  <c r="CS173" i="2"/>
  <c r="CR173" i="2"/>
  <c r="CQ173" i="2"/>
  <c r="CP173" i="2"/>
  <c r="CO173" i="2"/>
  <c r="CN173" i="2"/>
  <c r="CM173" i="2"/>
  <c r="CL173" i="2"/>
  <c r="CK173" i="2"/>
  <c r="CJ173" i="2"/>
  <c r="CI173" i="2"/>
  <c r="CH173" i="2"/>
  <c r="CG173" i="2"/>
  <c r="CF173" i="2"/>
  <c r="CE173" i="2"/>
  <c r="CD173" i="2"/>
  <c r="CC173" i="2"/>
  <c r="CB173" i="2"/>
  <c r="CA173" i="2"/>
  <c r="BZ173" i="2"/>
  <c r="BY173" i="2"/>
  <c r="BX173" i="2"/>
  <c r="BW173" i="2"/>
  <c r="BV173" i="2"/>
  <c r="BU173" i="2"/>
  <c r="BT173" i="2"/>
  <c r="BS173" i="2"/>
  <c r="BR173" i="2"/>
  <c r="BQ173" i="2"/>
  <c r="BP173" i="2"/>
  <c r="BO173" i="2"/>
  <c r="BN173" i="2"/>
  <c r="BM173" i="2"/>
  <c r="BL173" i="2"/>
  <c r="BK173" i="2"/>
  <c r="BJ173" i="2"/>
  <c r="BI173" i="2"/>
  <c r="BH173" i="2"/>
  <c r="BG173" i="2"/>
  <c r="BF173" i="2"/>
  <c r="BE173" i="2"/>
  <c r="BD173" i="2"/>
  <c r="BC173" i="2"/>
  <c r="BB173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E164" i="2"/>
  <c r="E20" i="2" s="1"/>
  <c r="D164" i="2"/>
  <c r="D20" i="2" s="1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CU152" i="2"/>
  <c r="CT152" i="2"/>
  <c r="CS152" i="2"/>
  <c r="CR152" i="2"/>
  <c r="CQ152" i="2"/>
  <c r="CP152" i="2"/>
  <c r="CO152" i="2"/>
  <c r="CN152" i="2"/>
  <c r="CM152" i="2"/>
  <c r="CL152" i="2"/>
  <c r="CK152" i="2"/>
  <c r="CJ152" i="2"/>
  <c r="CI152" i="2"/>
  <c r="CH152" i="2"/>
  <c r="CG152" i="2"/>
  <c r="CF152" i="2"/>
  <c r="CE152" i="2"/>
  <c r="CD152" i="2"/>
  <c r="CC152" i="2"/>
  <c r="CB152" i="2"/>
  <c r="CA152" i="2"/>
  <c r="BZ152" i="2"/>
  <c r="BY152" i="2"/>
  <c r="BX152" i="2"/>
  <c r="BW152" i="2"/>
  <c r="BV152" i="2"/>
  <c r="BU152" i="2"/>
  <c r="BT152" i="2"/>
  <c r="BS152" i="2"/>
  <c r="BR152" i="2"/>
  <c r="BQ152" i="2"/>
  <c r="BP152" i="2"/>
  <c r="BO152" i="2"/>
  <c r="BN152" i="2"/>
  <c r="BM152" i="2"/>
  <c r="BL152" i="2"/>
  <c r="BK152" i="2"/>
  <c r="BJ152" i="2"/>
  <c r="BI152" i="2"/>
  <c r="BH152" i="2"/>
  <c r="BG152" i="2"/>
  <c r="BF152" i="2"/>
  <c r="BE152" i="2"/>
  <c r="BD152" i="2"/>
  <c r="BC152" i="2"/>
  <c r="BB152" i="2"/>
  <c r="BA152" i="2"/>
  <c r="AZ152" i="2"/>
  <c r="AY152" i="2"/>
  <c r="AX152" i="2"/>
  <c r="CU148" i="2"/>
  <c r="CU140" i="2" s="1"/>
  <c r="CT148" i="2"/>
  <c r="CT140" i="2" s="1"/>
  <c r="CS148" i="2"/>
  <c r="CS140" i="2" s="1"/>
  <c r="CR148" i="2"/>
  <c r="CR140" i="2" s="1"/>
  <c r="CQ148" i="2"/>
  <c r="CQ140" i="2" s="1"/>
  <c r="CP148" i="2"/>
  <c r="CP140" i="2" s="1"/>
  <c r="CO148" i="2"/>
  <c r="CO140" i="2" s="1"/>
  <c r="CN148" i="2"/>
  <c r="CN140" i="2" s="1"/>
  <c r="CM148" i="2"/>
  <c r="CM140" i="2" s="1"/>
  <c r="CL148" i="2"/>
  <c r="CL140" i="2" s="1"/>
  <c r="CK148" i="2"/>
  <c r="CK140" i="2" s="1"/>
  <c r="CJ148" i="2"/>
  <c r="CJ140" i="2" s="1"/>
  <c r="CI148" i="2"/>
  <c r="CI140" i="2" s="1"/>
  <c r="CH148" i="2"/>
  <c r="CH140" i="2" s="1"/>
  <c r="CG148" i="2"/>
  <c r="CG140" i="2" s="1"/>
  <c r="CF148" i="2"/>
  <c r="CF140" i="2" s="1"/>
  <c r="CE148" i="2"/>
  <c r="CE140" i="2" s="1"/>
  <c r="CD148" i="2"/>
  <c r="CD140" i="2" s="1"/>
  <c r="CC148" i="2"/>
  <c r="CC140" i="2" s="1"/>
  <c r="CB148" i="2"/>
  <c r="CB140" i="2" s="1"/>
  <c r="CA148" i="2"/>
  <c r="CA140" i="2" s="1"/>
  <c r="BZ148" i="2"/>
  <c r="BZ140" i="2" s="1"/>
  <c r="BY148" i="2"/>
  <c r="BY140" i="2" s="1"/>
  <c r="BX148" i="2"/>
  <c r="BX140" i="2" s="1"/>
  <c r="BW148" i="2"/>
  <c r="BW140" i="2" s="1"/>
  <c r="BV148" i="2"/>
  <c r="BV140" i="2" s="1"/>
  <c r="BU148" i="2"/>
  <c r="BU140" i="2" s="1"/>
  <c r="BT148" i="2"/>
  <c r="BT140" i="2" s="1"/>
  <c r="BS148" i="2"/>
  <c r="BS140" i="2" s="1"/>
  <c r="BR148" i="2"/>
  <c r="BR140" i="2" s="1"/>
  <c r="BQ148" i="2"/>
  <c r="BQ140" i="2" s="1"/>
  <c r="BP148" i="2"/>
  <c r="BP140" i="2" s="1"/>
  <c r="BO148" i="2"/>
  <c r="BO140" i="2" s="1"/>
  <c r="BN148" i="2"/>
  <c r="BN140" i="2" s="1"/>
  <c r="BM148" i="2"/>
  <c r="BM140" i="2" s="1"/>
  <c r="BL148" i="2"/>
  <c r="BL140" i="2" s="1"/>
  <c r="BK148" i="2"/>
  <c r="BK140" i="2" s="1"/>
  <c r="BJ148" i="2"/>
  <c r="BJ140" i="2" s="1"/>
  <c r="BI148" i="2"/>
  <c r="BI140" i="2" s="1"/>
  <c r="BH148" i="2"/>
  <c r="BH140" i="2" s="1"/>
  <c r="BG148" i="2"/>
  <c r="BG140" i="2" s="1"/>
  <c r="BF148" i="2"/>
  <c r="BF140" i="2" s="1"/>
  <c r="BE148" i="2"/>
  <c r="BE140" i="2" s="1"/>
  <c r="BD148" i="2"/>
  <c r="BD140" i="2" s="1"/>
  <c r="BC148" i="2"/>
  <c r="BC140" i="2" s="1"/>
  <c r="BB148" i="2"/>
  <c r="BB140" i="2" s="1"/>
  <c r="BA148" i="2"/>
  <c r="BA140" i="2" s="1"/>
  <c r="AZ148" i="2"/>
  <c r="AZ140" i="2" s="1"/>
  <c r="AY148" i="2"/>
  <c r="AY140" i="2" s="1"/>
  <c r="AX148" i="2"/>
  <c r="AX140" i="2" s="1"/>
  <c r="CQ128" i="2"/>
  <c r="CP128" i="2"/>
  <c r="CN128" i="2"/>
  <c r="CM128" i="2"/>
  <c r="CK128" i="2"/>
  <c r="CE128" i="2"/>
  <c r="CD128" i="2"/>
  <c r="CB128" i="2"/>
  <c r="CA128" i="2"/>
  <c r="BY128" i="2"/>
  <c r="BX128" i="2"/>
  <c r="BS128" i="2"/>
  <c r="BR128" i="2"/>
  <c r="BP128" i="2"/>
  <c r="BO128" i="2"/>
  <c r="BM128" i="2"/>
  <c r="BL128" i="2"/>
  <c r="D134" i="2"/>
  <c r="CU128" i="2"/>
  <c r="CT128" i="2"/>
  <c r="CS128" i="2"/>
  <c r="CR128" i="2"/>
  <c r="CO128" i="2"/>
  <c r="CL128" i="2"/>
  <c r="CI128" i="2"/>
  <c r="CH128" i="2"/>
  <c r="CG128" i="2"/>
  <c r="CF128" i="2"/>
  <c r="CC128" i="2"/>
  <c r="BZ128" i="2"/>
  <c r="BW128" i="2"/>
  <c r="BV128" i="2"/>
  <c r="BU128" i="2"/>
  <c r="BT128" i="2"/>
  <c r="BQ128" i="2"/>
  <c r="BN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Q71" i="5" s="1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CU109" i="2"/>
  <c r="CT109" i="2"/>
  <c r="CS109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U26" i="2"/>
  <c r="CT26" i="2"/>
  <c r="CT25" i="2" s="1"/>
  <c r="CS26" i="2"/>
  <c r="CR26" i="2"/>
  <c r="CQ26" i="2"/>
  <c r="CP26" i="2"/>
  <c r="CO26" i="2"/>
  <c r="CN26" i="2"/>
  <c r="CM26" i="2"/>
  <c r="CM25" i="2" s="1"/>
  <c r="CL26" i="2"/>
  <c r="CK26" i="2"/>
  <c r="CK25" i="2" s="1"/>
  <c r="CJ26" i="2"/>
  <c r="CI26" i="2"/>
  <c r="CH26" i="2"/>
  <c r="CG26" i="2"/>
  <c r="CF26" i="2"/>
  <c r="CE26" i="2"/>
  <c r="CE25" i="2" s="1"/>
  <c r="CD26" i="2"/>
  <c r="CC26" i="2"/>
  <c r="CC25" i="2" s="1"/>
  <c r="CB26" i="2"/>
  <c r="CA26" i="2"/>
  <c r="BZ26" i="2"/>
  <c r="BY26" i="2"/>
  <c r="BX26" i="2"/>
  <c r="BW26" i="2"/>
  <c r="BW25" i="2" s="1"/>
  <c r="BV26" i="2"/>
  <c r="BU26" i="2"/>
  <c r="BT26" i="2"/>
  <c r="BT25" i="2" s="1"/>
  <c r="BS26" i="2"/>
  <c r="BR26" i="2"/>
  <c r="BQ26" i="2"/>
  <c r="BQ25" i="2" s="1"/>
  <c r="BP26" i="2"/>
  <c r="BO26" i="2"/>
  <c r="BN26" i="2"/>
  <c r="BM26" i="2"/>
  <c r="BM25" i="2" s="1"/>
  <c r="BL26" i="2"/>
  <c r="BK26" i="2"/>
  <c r="BJ26" i="2"/>
  <c r="BI26" i="2"/>
  <c r="BH26" i="2"/>
  <c r="BH25" i="2" s="1"/>
  <c r="BG26" i="2"/>
  <c r="BG25" i="2" s="1"/>
  <c r="BF26" i="2"/>
  <c r="BF25" i="2" s="1"/>
  <c r="BE26" i="2"/>
  <c r="BD26" i="2"/>
  <c r="BC26" i="2"/>
  <c r="BB26" i="2"/>
  <c r="BA26" i="2"/>
  <c r="AZ26" i="2"/>
  <c r="AZ25" i="2" s="1"/>
  <c r="AY26" i="2"/>
  <c r="AX26" i="2"/>
  <c r="AX25" i="2" s="1"/>
  <c r="AW26" i="2"/>
  <c r="AV26" i="2"/>
  <c r="AU26" i="2"/>
  <c r="AT26" i="2"/>
  <c r="AS26" i="2"/>
  <c r="AR26" i="2"/>
  <c r="AQ26" i="2"/>
  <c r="AP26" i="2"/>
  <c r="AP25" i="2" s="1"/>
  <c r="AO26" i="2"/>
  <c r="AN26" i="2"/>
  <c r="AM26" i="2"/>
  <c r="AL26" i="2"/>
  <c r="AK26" i="2"/>
  <c r="AK25" i="2" s="1"/>
  <c r="AJ26" i="2"/>
  <c r="AJ25" i="2" s="1"/>
  <c r="AI26" i="2"/>
  <c r="AI25" i="2" s="1"/>
  <c r="AH26" i="2"/>
  <c r="AH25" i="2" s="1"/>
  <c r="AG26" i="2"/>
  <c r="AF26" i="2"/>
  <c r="AE26" i="2"/>
  <c r="AD26" i="2"/>
  <c r="AC26" i="2"/>
  <c r="AB26" i="2"/>
  <c r="AB25" i="2" s="1"/>
  <c r="AA26" i="2"/>
  <c r="Z26" i="2"/>
  <c r="Z25" i="2" s="1"/>
  <c r="Y26" i="2"/>
  <c r="X26" i="2"/>
  <c r="W26" i="2"/>
  <c r="V26" i="2"/>
  <c r="U26" i="2"/>
  <c r="T26" i="2"/>
  <c r="T25" i="2" s="1"/>
  <c r="S26" i="2"/>
  <c r="R26" i="2"/>
  <c r="Q26" i="2"/>
  <c r="P26" i="2"/>
  <c r="O26" i="2"/>
  <c r="N26" i="2"/>
  <c r="M26" i="2"/>
  <c r="M25" i="2" s="1"/>
  <c r="L26" i="2"/>
  <c r="K26" i="2"/>
  <c r="J26" i="2"/>
  <c r="J25" i="2" s="1"/>
  <c r="I26" i="2"/>
  <c r="I25" i="2" s="1"/>
  <c r="H26" i="2"/>
  <c r="G26" i="2"/>
  <c r="G25" i="2" s="1"/>
  <c r="F26" i="2"/>
  <c r="E26" i="2"/>
  <c r="D26" i="2"/>
  <c r="AC9" i="2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BE9" i="2" s="1"/>
  <c r="BF9" i="2" s="1"/>
  <c r="BG9" i="2" s="1"/>
  <c r="BH9" i="2" s="1"/>
  <c r="BI9" i="2" s="1"/>
  <c r="BJ9" i="2" s="1"/>
  <c r="BK9" i="2" s="1"/>
  <c r="BL9" i="2" s="1"/>
  <c r="BM9" i="2" s="1"/>
  <c r="BN9" i="2" s="1"/>
  <c r="BO9" i="2" s="1"/>
  <c r="BP9" i="2" s="1"/>
  <c r="BQ9" i="2" s="1"/>
  <c r="BR9" i="2" s="1"/>
  <c r="BS9" i="2" s="1"/>
  <c r="BT9" i="2" s="1"/>
  <c r="BU9" i="2" s="1"/>
  <c r="BV9" i="2" s="1"/>
  <c r="BW9" i="2" s="1"/>
  <c r="BX9" i="2" s="1"/>
  <c r="BY9" i="2" s="1"/>
  <c r="BZ9" i="2" s="1"/>
  <c r="CA9" i="2" s="1"/>
  <c r="CB9" i="2" s="1"/>
  <c r="CC9" i="2" s="1"/>
  <c r="CD9" i="2" s="1"/>
  <c r="CE9" i="2" s="1"/>
  <c r="CF9" i="2" s="1"/>
  <c r="CG9" i="2" s="1"/>
  <c r="CH9" i="2" s="1"/>
  <c r="CI9" i="2" s="1"/>
  <c r="CJ9" i="2" s="1"/>
  <c r="CK9" i="2" s="1"/>
  <c r="CL9" i="2" s="1"/>
  <c r="CM9" i="2" s="1"/>
  <c r="CN9" i="2" s="1"/>
  <c r="CO9" i="2" s="1"/>
  <c r="CP9" i="2" s="1"/>
  <c r="CQ9" i="2" s="1"/>
  <c r="CR9" i="2" s="1"/>
  <c r="CS9" i="2" s="1"/>
  <c r="CT9" i="2" s="1"/>
  <c r="CU9" i="2" s="1"/>
  <c r="CR25" i="2" l="1"/>
  <c r="S25" i="2"/>
  <c r="R25" i="2"/>
  <c r="BP25" i="2"/>
  <c r="AA25" i="2"/>
  <c r="CN25" i="2"/>
  <c r="D25" i="2"/>
  <c r="AN25" i="2"/>
  <c r="K25" i="2"/>
  <c r="BO25" i="2"/>
  <c r="AQ25" i="2"/>
  <c r="AY25" i="2"/>
  <c r="CD25" i="2"/>
  <c r="AG25" i="2"/>
  <c r="Y25" i="2"/>
  <c r="U25" i="2"/>
  <c r="E25" i="2"/>
  <c r="CS25" i="2"/>
  <c r="AO25" i="2"/>
  <c r="CP25" i="2"/>
  <c r="H25" i="2"/>
  <c r="BY25" i="2"/>
  <c r="BI25" i="2"/>
  <c r="BN25" i="2"/>
  <c r="CL25" i="2"/>
  <c r="AR25" i="2"/>
  <c r="I66" i="5"/>
  <c r="AD25" i="2"/>
  <c r="N25" i="2"/>
  <c r="BJ25" i="2"/>
  <c r="L25" i="2"/>
  <c r="BV25" i="2"/>
  <c r="CJ25" i="2"/>
  <c r="AF25" i="2"/>
  <c r="CH25" i="2"/>
  <c r="CI25" i="2"/>
  <c r="BX25" i="2"/>
  <c r="AU25" i="2"/>
  <c r="W25" i="2"/>
  <c r="AE25" i="2"/>
  <c r="BC25" i="2"/>
  <c r="AV25" i="2"/>
  <c r="AW25" i="2"/>
  <c r="BS25" i="2"/>
  <c r="CQ25" i="2"/>
  <c r="BR25" i="2"/>
  <c r="BB25" i="2"/>
  <c r="AL25" i="2"/>
  <c r="AS25" i="2"/>
  <c r="AC25" i="2"/>
  <c r="CF25" i="2"/>
  <c r="D128" i="2"/>
  <c r="I58" i="5"/>
  <c r="I55" i="5" s="1"/>
  <c r="K66" i="5"/>
  <c r="CA25" i="2"/>
  <c r="CG25" i="2"/>
  <c r="AT25" i="2"/>
  <c r="AM25" i="2"/>
  <c r="CB25" i="2"/>
  <c r="CU25" i="2"/>
  <c r="BU25" i="2"/>
  <c r="V25" i="2"/>
  <c r="BL25" i="2"/>
  <c r="CO25" i="2"/>
  <c r="Q25" i="2"/>
  <c r="X25" i="2"/>
  <c r="BD25" i="2"/>
  <c r="BE25" i="2"/>
  <c r="K26" i="5"/>
  <c r="I26" i="5"/>
  <c r="M26" i="5"/>
  <c r="BK25" i="2"/>
  <c r="BZ25" i="2"/>
  <c r="P25" i="2"/>
  <c r="F25" i="2"/>
  <c r="O25" i="2"/>
  <c r="BA25" i="2"/>
  <c r="M55" i="5"/>
  <c r="Q55" i="5"/>
  <c r="K55" i="5"/>
  <c r="O55" i="5"/>
  <c r="K75" i="5"/>
  <c r="M75" i="5"/>
  <c r="E29" i="4"/>
  <c r="E30" i="4"/>
  <c r="E25" i="4"/>
  <c r="E28" i="4"/>
  <c r="L45" i="5"/>
  <c r="W74" i="5"/>
  <c r="N45" i="5"/>
  <c r="P45" i="5"/>
  <c r="J45" i="5"/>
  <c r="O74" i="5"/>
  <c r="V45" i="5"/>
  <c r="R45" i="5"/>
  <c r="Q74" i="5"/>
  <c r="S74" i="5"/>
  <c r="M74" i="5"/>
  <c r="U74" i="5"/>
  <c r="K74" i="5"/>
  <c r="T45" i="5"/>
  <c r="S72" i="5"/>
  <c r="K72" i="5"/>
  <c r="O72" i="5"/>
  <c r="M72" i="5"/>
  <c r="W72" i="5"/>
  <c r="U72" i="5"/>
  <c r="Q72" i="5"/>
  <c r="W71" i="5"/>
  <c r="K71" i="5"/>
  <c r="O71" i="5"/>
  <c r="U71" i="5"/>
  <c r="M71" i="5"/>
  <c r="S71" i="5"/>
  <c r="D177" i="2"/>
  <c r="Q81" i="5"/>
  <c r="S81" i="5"/>
  <c r="U81" i="5"/>
  <c r="O81" i="5"/>
  <c r="W81" i="5"/>
  <c r="C22" i="9"/>
  <c r="D39" i="9" s="1"/>
  <c r="H39" i="9" s="1"/>
  <c r="H41" i="9" s="1"/>
  <c r="H40" i="9" s="1"/>
  <c r="D41" i="9"/>
  <c r="D40" i="9" s="1"/>
  <c r="E38" i="9"/>
  <c r="E39" i="9" s="1"/>
  <c r="E41" i="9" s="1"/>
  <c r="E40" i="9" s="1"/>
  <c r="AB155" i="2" s="1"/>
  <c r="G39" i="9"/>
  <c r="G41" i="9" s="1"/>
  <c r="G40" i="9" s="1"/>
  <c r="K38" i="9"/>
  <c r="I38" i="9"/>
  <c r="L38" i="9"/>
  <c r="L39" i="9" s="1"/>
  <c r="J38" i="9"/>
  <c r="K21" i="2"/>
  <c r="K177" i="2"/>
  <c r="S21" i="2"/>
  <c r="S177" i="2"/>
  <c r="AA21" i="2"/>
  <c r="AA177" i="2"/>
  <c r="AI21" i="2"/>
  <c r="AQ21" i="2"/>
  <c r="AY21" i="2"/>
  <c r="BG21" i="2"/>
  <c r="BO21" i="2"/>
  <c r="BW21" i="2"/>
  <c r="CE21" i="2"/>
  <c r="CM21" i="2"/>
  <c r="CU21" i="2"/>
  <c r="H23" i="2"/>
  <c r="H200" i="2"/>
  <c r="P23" i="2"/>
  <c r="P200" i="2"/>
  <c r="X23" i="2"/>
  <c r="X200" i="2"/>
  <c r="AF23" i="2"/>
  <c r="AF200" i="2"/>
  <c r="AN23" i="2"/>
  <c r="AN200" i="2"/>
  <c r="L21" i="2"/>
  <c r="L177" i="2"/>
  <c r="T21" i="2"/>
  <c r="T177" i="2"/>
  <c r="AB21" i="2"/>
  <c r="AJ21" i="2"/>
  <c r="AR21" i="2"/>
  <c r="BH21" i="2"/>
  <c r="BP21" i="2"/>
  <c r="BX21" i="2"/>
  <c r="CF21" i="2"/>
  <c r="CN21" i="2"/>
  <c r="I23" i="2"/>
  <c r="I200" i="2"/>
  <c r="Q23" i="2"/>
  <c r="Q200" i="2"/>
  <c r="Y23" i="2"/>
  <c r="Y200" i="2"/>
  <c r="AG23" i="2"/>
  <c r="AG200" i="2"/>
  <c r="AO23" i="2"/>
  <c r="AO200" i="2"/>
  <c r="E21" i="2"/>
  <c r="E177" i="2"/>
  <c r="M21" i="2"/>
  <c r="M177" i="2"/>
  <c r="U21" i="2"/>
  <c r="U177" i="2"/>
  <c r="AC21" i="2"/>
  <c r="AK21" i="2"/>
  <c r="AS21" i="2"/>
  <c r="BA21" i="2"/>
  <c r="BI21" i="2"/>
  <c r="BQ21" i="2"/>
  <c r="BY21" i="2"/>
  <c r="CG21" i="2"/>
  <c r="CO21" i="2"/>
  <c r="J23" i="2"/>
  <c r="J200" i="2"/>
  <c r="R23" i="2"/>
  <c r="R200" i="2"/>
  <c r="Z23" i="2"/>
  <c r="Z200" i="2"/>
  <c r="AH23" i="2"/>
  <c r="AH200" i="2"/>
  <c r="AP23" i="2"/>
  <c r="AP200" i="2"/>
  <c r="F21" i="2"/>
  <c r="F177" i="2"/>
  <c r="N21" i="2"/>
  <c r="N177" i="2"/>
  <c r="V21" i="2"/>
  <c r="V177" i="2"/>
  <c r="AD21" i="2"/>
  <c r="AL21" i="2"/>
  <c r="AT21" i="2"/>
  <c r="BB21" i="2"/>
  <c r="BJ21" i="2"/>
  <c r="BR21" i="2"/>
  <c r="BZ21" i="2"/>
  <c r="CH21" i="2"/>
  <c r="CP21" i="2"/>
  <c r="K23" i="2"/>
  <c r="K200" i="2"/>
  <c r="S23" i="2"/>
  <c r="S200" i="2"/>
  <c r="AA23" i="2"/>
  <c r="AA200" i="2"/>
  <c r="AI23" i="2"/>
  <c r="AI200" i="2"/>
  <c r="AQ23" i="2"/>
  <c r="AQ200" i="2"/>
  <c r="G21" i="2"/>
  <c r="G177" i="2"/>
  <c r="O21" i="2"/>
  <c r="O177" i="2"/>
  <c r="W21" i="2"/>
  <c r="W177" i="2"/>
  <c r="AE21" i="2"/>
  <c r="AM21" i="2"/>
  <c r="AU21" i="2"/>
  <c r="BC21" i="2"/>
  <c r="BK21" i="2"/>
  <c r="BS21" i="2"/>
  <c r="CA21" i="2"/>
  <c r="CI21" i="2"/>
  <c r="CQ21" i="2"/>
  <c r="D200" i="2"/>
  <c r="L23" i="2"/>
  <c r="L200" i="2"/>
  <c r="T23" i="2"/>
  <c r="T200" i="2"/>
  <c r="AB23" i="2"/>
  <c r="AB200" i="2"/>
  <c r="AJ23" i="2"/>
  <c r="AJ200" i="2"/>
  <c r="AR23" i="2"/>
  <c r="AR200" i="2"/>
  <c r="H21" i="2"/>
  <c r="H177" i="2"/>
  <c r="P21" i="2"/>
  <c r="P177" i="2"/>
  <c r="X21" i="2"/>
  <c r="X177" i="2"/>
  <c r="AF21" i="2"/>
  <c r="AN21" i="2"/>
  <c r="AV21" i="2"/>
  <c r="BD21" i="2"/>
  <c r="BL21" i="2"/>
  <c r="BT21" i="2"/>
  <c r="CB21" i="2"/>
  <c r="CJ21" i="2"/>
  <c r="CR21" i="2"/>
  <c r="E23" i="2"/>
  <c r="E200" i="2"/>
  <c r="M23" i="2"/>
  <c r="M200" i="2"/>
  <c r="U23" i="2"/>
  <c r="U200" i="2"/>
  <c r="AC23" i="2"/>
  <c r="AC200" i="2"/>
  <c r="AK23" i="2"/>
  <c r="AK200" i="2"/>
  <c r="I21" i="2"/>
  <c r="I177" i="2"/>
  <c r="Q21" i="2"/>
  <c r="Q177" i="2"/>
  <c r="Y21" i="2"/>
  <c r="Y177" i="2"/>
  <c r="AG21" i="2"/>
  <c r="AO21" i="2"/>
  <c r="AW21" i="2"/>
  <c r="BE21" i="2"/>
  <c r="BM21" i="2"/>
  <c r="BU21" i="2"/>
  <c r="CC21" i="2"/>
  <c r="CK21" i="2"/>
  <c r="CS21" i="2"/>
  <c r="F23" i="2"/>
  <c r="F200" i="2"/>
  <c r="N23" i="2"/>
  <c r="N200" i="2"/>
  <c r="V23" i="2"/>
  <c r="V200" i="2"/>
  <c r="AD23" i="2"/>
  <c r="AD200" i="2"/>
  <c r="AL23" i="2"/>
  <c r="AL200" i="2"/>
  <c r="J21" i="2"/>
  <c r="J177" i="2"/>
  <c r="R21" i="2"/>
  <c r="R177" i="2"/>
  <c r="Z21" i="2"/>
  <c r="Z177" i="2"/>
  <c r="AH21" i="2"/>
  <c r="AP21" i="2"/>
  <c r="AX21" i="2"/>
  <c r="BF21" i="2"/>
  <c r="BN21" i="2"/>
  <c r="BV21" i="2"/>
  <c r="CD21" i="2"/>
  <c r="CL21" i="2"/>
  <c r="CT21" i="2"/>
  <c r="G23" i="2"/>
  <c r="G200" i="2"/>
  <c r="O23" i="2"/>
  <c r="O200" i="2"/>
  <c r="W23" i="2"/>
  <c r="W200" i="2"/>
  <c r="AE23" i="2"/>
  <c r="AE200" i="2"/>
  <c r="AM23" i="2"/>
  <c r="AM200" i="2"/>
  <c r="W55" i="5"/>
  <c r="H58" i="5"/>
  <c r="O75" i="5"/>
  <c r="J25" i="5"/>
  <c r="Q75" i="5"/>
  <c r="U75" i="5"/>
  <c r="AZ21" i="2"/>
  <c r="I25" i="5"/>
  <c r="W75" i="5"/>
  <c r="S55" i="5"/>
  <c r="S75" i="5"/>
  <c r="K25" i="5"/>
  <c r="U55" i="5"/>
  <c r="E10" i="4"/>
  <c r="E11" i="4"/>
  <c r="E14" i="4"/>
  <c r="E18" i="4"/>
  <c r="E19" i="4"/>
  <c r="E22" i="4"/>
  <c r="E26" i="4"/>
  <c r="E12" i="4"/>
  <c r="E20" i="4"/>
  <c r="E13" i="4"/>
  <c r="E21" i="4"/>
  <c r="E15" i="4"/>
  <c r="E23" i="4"/>
  <c r="E8" i="4"/>
  <c r="E16" i="4"/>
  <c r="E24" i="4"/>
  <c r="E9" i="4"/>
  <c r="E17" i="4"/>
  <c r="AB157" i="2"/>
  <c r="AC186" i="2"/>
  <c r="AB185" i="2"/>
  <c r="AT202" i="2"/>
  <c r="AS201" i="2"/>
  <c r="I70" i="5" l="1"/>
  <c r="M70" i="5"/>
  <c r="K70" i="5"/>
  <c r="Q70" i="5"/>
  <c r="U70" i="5"/>
  <c r="O70" i="5"/>
  <c r="W70" i="5"/>
  <c r="S70" i="5"/>
  <c r="I24" i="5"/>
  <c r="K24" i="5"/>
  <c r="E83" i="2"/>
  <c r="E50" i="2" s="1"/>
  <c r="M83" i="2"/>
  <c r="U83" i="2"/>
  <c r="AC83" i="2"/>
  <c r="AK83" i="2"/>
  <c r="AS83" i="2"/>
  <c r="BA83" i="2"/>
  <c r="BI83" i="2"/>
  <c r="BQ83" i="2"/>
  <c r="BY83" i="2"/>
  <c r="CG83" i="2"/>
  <c r="CO83" i="2"/>
  <c r="AA83" i="2"/>
  <c r="BP83" i="2"/>
  <c r="F83" i="2"/>
  <c r="N83" i="2"/>
  <c r="V83" i="2"/>
  <c r="AD83" i="2"/>
  <c r="AL83" i="2"/>
  <c r="AT83" i="2"/>
  <c r="BB83" i="2"/>
  <c r="BJ83" i="2"/>
  <c r="BR83" i="2"/>
  <c r="BZ83" i="2"/>
  <c r="CH83" i="2"/>
  <c r="CP83" i="2"/>
  <c r="AJ83" i="2"/>
  <c r="BH83" i="2"/>
  <c r="CN83" i="2"/>
  <c r="G83" i="2"/>
  <c r="O83" i="2"/>
  <c r="W83" i="2"/>
  <c r="AE83" i="2"/>
  <c r="AM83" i="2"/>
  <c r="AU83" i="2"/>
  <c r="BC83" i="2"/>
  <c r="BK83" i="2"/>
  <c r="BS83" i="2"/>
  <c r="CA83" i="2"/>
  <c r="CI83" i="2"/>
  <c r="CQ83" i="2"/>
  <c r="K83" i="2"/>
  <c r="AB83" i="2"/>
  <c r="BX83" i="2"/>
  <c r="H83" i="2"/>
  <c r="P83" i="2"/>
  <c r="X83" i="2"/>
  <c r="AF83" i="2"/>
  <c r="AN83" i="2"/>
  <c r="AV83" i="2"/>
  <c r="BD83" i="2"/>
  <c r="BL83" i="2"/>
  <c r="BT83" i="2"/>
  <c r="CB83" i="2"/>
  <c r="CJ83" i="2"/>
  <c r="CR83" i="2"/>
  <c r="CU83" i="2"/>
  <c r="L83" i="2"/>
  <c r="AZ83" i="2"/>
  <c r="D83" i="2"/>
  <c r="D50" i="2" s="1"/>
  <c r="I83" i="2"/>
  <c r="Q83" i="2"/>
  <c r="Y83" i="2"/>
  <c r="AG83" i="2"/>
  <c r="AO83" i="2"/>
  <c r="AW83" i="2"/>
  <c r="BE83" i="2"/>
  <c r="BM83" i="2"/>
  <c r="BU83" i="2"/>
  <c r="CC83" i="2"/>
  <c r="CK83" i="2"/>
  <c r="CS83" i="2"/>
  <c r="J83" i="2"/>
  <c r="R83" i="2"/>
  <c r="Z83" i="2"/>
  <c r="AH83" i="2"/>
  <c r="AP83" i="2"/>
  <c r="AX83" i="2"/>
  <c r="BF83" i="2"/>
  <c r="BN83" i="2"/>
  <c r="BV83" i="2"/>
  <c r="CD83" i="2"/>
  <c r="CL83" i="2"/>
  <c r="CT83" i="2"/>
  <c r="S83" i="2"/>
  <c r="AI83" i="2"/>
  <c r="AQ83" i="2"/>
  <c r="AY83" i="2"/>
  <c r="BG83" i="2"/>
  <c r="BO83" i="2"/>
  <c r="BW83" i="2"/>
  <c r="CE83" i="2"/>
  <c r="CM83" i="2"/>
  <c r="T83" i="2"/>
  <c r="AR83" i="2"/>
  <c r="CF83" i="2"/>
  <c r="I40" i="5"/>
  <c r="Q40" i="5"/>
  <c r="S40" i="5"/>
  <c r="M40" i="5"/>
  <c r="U40" i="5"/>
  <c r="W40" i="5"/>
  <c r="K40" i="5"/>
  <c r="O40" i="5"/>
  <c r="I39" i="5"/>
  <c r="O39" i="5"/>
  <c r="Q39" i="5"/>
  <c r="K39" i="5"/>
  <c r="S39" i="5"/>
  <c r="M39" i="5"/>
  <c r="U39" i="5"/>
  <c r="W39" i="5"/>
  <c r="I38" i="5"/>
  <c r="M38" i="5"/>
  <c r="K38" i="5"/>
  <c r="O38" i="5"/>
  <c r="Q38" i="5"/>
  <c r="S38" i="5"/>
  <c r="U38" i="5"/>
  <c r="W38" i="5"/>
  <c r="U34" i="5"/>
  <c r="W34" i="5"/>
  <c r="S34" i="5"/>
  <c r="M34" i="5"/>
  <c r="K34" i="5"/>
  <c r="Q34" i="5"/>
  <c r="O34" i="5"/>
  <c r="M30" i="5"/>
  <c r="K30" i="5"/>
  <c r="O30" i="5"/>
  <c r="Q30" i="5"/>
  <c r="S30" i="5"/>
  <c r="U30" i="5"/>
  <c r="W30" i="5"/>
  <c r="I41" i="5"/>
  <c r="S41" i="5"/>
  <c r="U41" i="5"/>
  <c r="W41" i="5"/>
  <c r="O41" i="5"/>
  <c r="M41" i="5"/>
  <c r="K41" i="5"/>
  <c r="Q41" i="5"/>
  <c r="W35" i="5"/>
  <c r="M35" i="5"/>
  <c r="K35" i="5"/>
  <c r="O35" i="5"/>
  <c r="U35" i="5"/>
  <c r="Q35" i="5"/>
  <c r="S35" i="5"/>
  <c r="I51" i="5"/>
  <c r="W51" i="5"/>
  <c r="M51" i="5"/>
  <c r="K51" i="5"/>
  <c r="O51" i="5"/>
  <c r="U51" i="5"/>
  <c r="Q51" i="5"/>
  <c r="S51" i="5"/>
  <c r="I42" i="5"/>
  <c r="U42" i="5"/>
  <c r="S42" i="5"/>
  <c r="W42" i="5"/>
  <c r="M42" i="5"/>
  <c r="K42" i="5"/>
  <c r="O42" i="5"/>
  <c r="Q42" i="5"/>
  <c r="I45" i="5"/>
  <c r="M45" i="5"/>
  <c r="K45" i="5"/>
  <c r="O45" i="5"/>
  <c r="Q45" i="5"/>
  <c r="S45" i="5"/>
  <c r="U45" i="5"/>
  <c r="W45" i="5"/>
  <c r="I32" i="5"/>
  <c r="Q32" i="5"/>
  <c r="M32" i="5"/>
  <c r="O32" i="5"/>
  <c r="S32" i="5"/>
  <c r="U32" i="5"/>
  <c r="W32" i="5"/>
  <c r="K32" i="5"/>
  <c r="I50" i="5"/>
  <c r="U50" i="5"/>
  <c r="W50" i="5"/>
  <c r="M50" i="5"/>
  <c r="K50" i="5"/>
  <c r="Q50" i="5"/>
  <c r="O50" i="5"/>
  <c r="S50" i="5"/>
  <c r="M37" i="5"/>
  <c r="K37" i="5"/>
  <c r="O37" i="5"/>
  <c r="Q37" i="5"/>
  <c r="S37" i="5"/>
  <c r="W37" i="5"/>
  <c r="U37" i="5"/>
  <c r="I47" i="5"/>
  <c r="O47" i="5"/>
  <c r="Q47" i="5"/>
  <c r="S47" i="5"/>
  <c r="U47" i="5"/>
  <c r="M47" i="5"/>
  <c r="W47" i="5"/>
  <c r="K47" i="5"/>
  <c r="O31" i="5"/>
  <c r="K31" i="5"/>
  <c r="Q31" i="5"/>
  <c r="S31" i="5"/>
  <c r="U31" i="5"/>
  <c r="W31" i="5"/>
  <c r="M31" i="5"/>
  <c r="S33" i="5"/>
  <c r="U33" i="5"/>
  <c r="W33" i="5"/>
  <c r="Q33" i="5"/>
  <c r="M33" i="5"/>
  <c r="K33" i="5"/>
  <c r="O33" i="5"/>
  <c r="I29" i="5"/>
  <c r="M29" i="5"/>
  <c r="O29" i="5"/>
  <c r="K29" i="5"/>
  <c r="Q29" i="5"/>
  <c r="S29" i="5"/>
  <c r="W29" i="5"/>
  <c r="U29" i="5"/>
  <c r="I49" i="5"/>
  <c r="S49" i="5"/>
  <c r="U49" i="5"/>
  <c r="W49" i="5"/>
  <c r="Q49" i="5"/>
  <c r="M49" i="5"/>
  <c r="K49" i="5"/>
  <c r="O49" i="5"/>
  <c r="W36" i="5"/>
  <c r="M36" i="5"/>
  <c r="K36" i="5"/>
  <c r="O36" i="5"/>
  <c r="Q36" i="5"/>
  <c r="U36" i="5"/>
  <c r="S36" i="5"/>
  <c r="I44" i="5"/>
  <c r="M44" i="5"/>
  <c r="K44" i="5"/>
  <c r="W44" i="5"/>
  <c r="O44" i="5"/>
  <c r="Q44" i="5"/>
  <c r="S44" i="5"/>
  <c r="U44" i="5"/>
  <c r="I43" i="5"/>
  <c r="W43" i="5"/>
  <c r="M43" i="5"/>
  <c r="K43" i="5"/>
  <c r="O43" i="5"/>
  <c r="S43" i="5"/>
  <c r="Q43" i="5"/>
  <c r="U43" i="5"/>
  <c r="M46" i="5"/>
  <c r="K46" i="5"/>
  <c r="O46" i="5"/>
  <c r="Q46" i="5"/>
  <c r="S46" i="5"/>
  <c r="U46" i="5"/>
  <c r="W46" i="5"/>
  <c r="I34" i="5"/>
  <c r="I35" i="5"/>
  <c r="I33" i="5"/>
  <c r="I30" i="5"/>
  <c r="I37" i="5"/>
  <c r="I31" i="5"/>
  <c r="I36" i="5"/>
  <c r="I46" i="5"/>
  <c r="E31" i="4"/>
  <c r="AC155" i="2"/>
  <c r="K155" i="2"/>
  <c r="K151" i="2" s="1"/>
  <c r="Z155" i="2"/>
  <c r="Y155" i="2"/>
  <c r="Q155" i="2"/>
  <c r="I155" i="2"/>
  <c r="I151" i="2" s="1"/>
  <c r="X155" i="2"/>
  <c r="P155" i="2"/>
  <c r="H155" i="2"/>
  <c r="H151" i="2" s="1"/>
  <c r="W155" i="2"/>
  <c r="O155" i="2"/>
  <c r="O151" i="2" s="1"/>
  <c r="G155" i="2"/>
  <c r="G151" i="2" s="1"/>
  <c r="S155" i="2"/>
  <c r="R155" i="2"/>
  <c r="V155" i="2"/>
  <c r="N155" i="2"/>
  <c r="N151" i="2" s="1"/>
  <c r="F155" i="2"/>
  <c r="U155" i="2"/>
  <c r="M155" i="2"/>
  <c r="M151" i="2" s="1"/>
  <c r="T155" i="2"/>
  <c r="L155" i="2"/>
  <c r="L151" i="2" s="1"/>
  <c r="AA155" i="2"/>
  <c r="J155" i="2"/>
  <c r="J151" i="2" s="1"/>
  <c r="AB22" i="2"/>
  <c r="K39" i="9"/>
  <c r="K41" i="9" s="1"/>
  <c r="K40" i="9" s="1"/>
  <c r="J39" i="9"/>
  <c r="C24" i="9"/>
  <c r="C25" i="9"/>
  <c r="I39" i="9"/>
  <c r="M38" i="9"/>
  <c r="C29" i="9"/>
  <c r="L41" i="9"/>
  <c r="E19" i="2"/>
  <c r="E12" i="2" s="1"/>
  <c r="AB177" i="2"/>
  <c r="AS23" i="2"/>
  <c r="AS200" i="2"/>
  <c r="D19" i="2"/>
  <c r="D12" i="2" s="1"/>
  <c r="AD186" i="2"/>
  <c r="AD155" i="2" s="1"/>
  <c r="AC185" i="2"/>
  <c r="AC157" i="2"/>
  <c r="AU202" i="2"/>
  <c r="AT201" i="2"/>
  <c r="E53" i="2" l="1"/>
  <c r="I67" i="5"/>
  <c r="I64" i="5" s="1"/>
  <c r="G50" i="2"/>
  <c r="I50" i="2"/>
  <c r="H50" i="2"/>
  <c r="L50" i="2"/>
  <c r="K50" i="2"/>
  <c r="M50" i="2"/>
  <c r="J50" i="2"/>
  <c r="N50" i="2"/>
  <c r="O50" i="2"/>
  <c r="I28" i="5"/>
  <c r="F151" i="2"/>
  <c r="F53" i="2" s="1"/>
  <c r="K67" i="5"/>
  <c r="D16" i="2"/>
  <c r="E16" i="2" s="1"/>
  <c r="D53" i="2"/>
  <c r="H57" i="5"/>
  <c r="V30" i="5"/>
  <c r="J30" i="5"/>
  <c r="H30" i="5"/>
  <c r="R30" i="5"/>
  <c r="T30" i="5"/>
  <c r="P30" i="5"/>
  <c r="L30" i="5"/>
  <c r="N30" i="5"/>
  <c r="G53" i="2"/>
  <c r="L53" i="2"/>
  <c r="M53" i="2"/>
  <c r="O53" i="2"/>
  <c r="K53" i="2"/>
  <c r="J53" i="2"/>
  <c r="I53" i="2"/>
  <c r="H53" i="2"/>
  <c r="N53" i="2"/>
  <c r="N44" i="5"/>
  <c r="P44" i="5"/>
  <c r="T44" i="5"/>
  <c r="J44" i="5"/>
  <c r="R44" i="5"/>
  <c r="L43" i="5"/>
  <c r="L44" i="5"/>
  <c r="V44" i="5"/>
  <c r="N43" i="5"/>
  <c r="P43" i="5"/>
  <c r="V43" i="5"/>
  <c r="R43" i="5"/>
  <c r="T43" i="5"/>
  <c r="J43" i="5"/>
  <c r="H42" i="5"/>
  <c r="R42" i="5"/>
  <c r="J42" i="5"/>
  <c r="T42" i="5"/>
  <c r="V42" i="5"/>
  <c r="L42" i="5"/>
  <c r="N42" i="5"/>
  <c r="P42" i="5"/>
  <c r="H41" i="5"/>
  <c r="J41" i="5"/>
  <c r="L41" i="5"/>
  <c r="V41" i="5"/>
  <c r="T41" i="5"/>
  <c r="N41" i="5"/>
  <c r="P41" i="5"/>
  <c r="R41" i="5"/>
  <c r="H40" i="5"/>
  <c r="R40" i="5"/>
  <c r="T40" i="5"/>
  <c r="J40" i="5"/>
  <c r="V40" i="5"/>
  <c r="L40" i="5"/>
  <c r="N40" i="5"/>
  <c r="P40" i="5"/>
  <c r="J39" i="5"/>
  <c r="L39" i="5"/>
  <c r="V39" i="5"/>
  <c r="N39" i="5"/>
  <c r="P39" i="5"/>
  <c r="R39" i="5"/>
  <c r="H39" i="5"/>
  <c r="T38" i="5"/>
  <c r="T39" i="5"/>
  <c r="J38" i="5"/>
  <c r="V38" i="5"/>
  <c r="N38" i="5"/>
  <c r="L38" i="5"/>
  <c r="P38" i="5"/>
  <c r="H38" i="5"/>
  <c r="R38" i="5"/>
  <c r="C28" i="9"/>
  <c r="L40" i="9"/>
  <c r="I41" i="9"/>
  <c r="M39" i="9"/>
  <c r="J41" i="9"/>
  <c r="C27" i="9"/>
  <c r="AT23" i="2"/>
  <c r="AT200" i="2"/>
  <c r="AC22" i="2"/>
  <c r="AC177" i="2"/>
  <c r="AD185" i="2"/>
  <c r="AD157" i="2"/>
  <c r="AE186" i="2"/>
  <c r="AE155" i="2" s="1"/>
  <c r="AV202" i="2"/>
  <c r="AU201" i="2"/>
  <c r="F50" i="2" l="1"/>
  <c r="J28" i="5"/>
  <c r="J15" i="5" s="1"/>
  <c r="P28" i="5"/>
  <c r="P15" i="5" s="1"/>
  <c r="V28" i="5"/>
  <c r="V15" i="5" s="1"/>
  <c r="L28" i="5"/>
  <c r="L15" i="5" s="1"/>
  <c r="N28" i="5"/>
  <c r="N15" i="5" s="1"/>
  <c r="R28" i="5"/>
  <c r="R15" i="5" s="1"/>
  <c r="U28" i="5"/>
  <c r="T28" i="5"/>
  <c r="T15" i="5" s="1"/>
  <c r="H28" i="5"/>
  <c r="M28" i="5"/>
  <c r="Q28" i="5"/>
  <c r="O28" i="5"/>
  <c r="W28" i="5"/>
  <c r="S28" i="5"/>
  <c r="K28" i="5"/>
  <c r="CT165" i="2"/>
  <c r="CL165" i="2"/>
  <c r="CD165" i="2"/>
  <c r="BV165" i="2"/>
  <c r="BO165" i="2"/>
  <c r="BG165" i="2"/>
  <c r="P165" i="2"/>
  <c r="CJ165" i="2"/>
  <c r="BT165" i="2"/>
  <c r="BE165" i="2"/>
  <c r="CQ165" i="2"/>
  <c r="AB165" i="2"/>
  <c r="BH165" i="2"/>
  <c r="CS165" i="2"/>
  <c r="CK165" i="2"/>
  <c r="CC165" i="2"/>
  <c r="BU165" i="2"/>
  <c r="BN165" i="2"/>
  <c r="BF165" i="2"/>
  <c r="CR165" i="2"/>
  <c r="CB165" i="2"/>
  <c r="BM165" i="2"/>
  <c r="CI165" i="2"/>
  <c r="CA165" i="2"/>
  <c r="BK165" i="2"/>
  <c r="BD165" i="2"/>
  <c r="BW165" i="2"/>
  <c r="CP165" i="2"/>
  <c r="CH165" i="2"/>
  <c r="BZ165" i="2"/>
  <c r="BS165" i="2"/>
  <c r="BJ165" i="2"/>
  <c r="BC165" i="2"/>
  <c r="CF165" i="2"/>
  <c r="BL165" i="2"/>
  <c r="CM165" i="2"/>
  <c r="CO165" i="2"/>
  <c r="CG165" i="2"/>
  <c r="BY165" i="2"/>
  <c r="BR165" i="2"/>
  <c r="BI165" i="2"/>
  <c r="BB165" i="2"/>
  <c r="CN165" i="2"/>
  <c r="BX165" i="2"/>
  <c r="BQ165" i="2"/>
  <c r="BA165" i="2"/>
  <c r="CU165" i="2"/>
  <c r="CE165" i="2"/>
  <c r="BP165" i="2"/>
  <c r="AZ165" i="2"/>
  <c r="AY165" i="2"/>
  <c r="AQ165" i="2"/>
  <c r="AI165" i="2"/>
  <c r="AA165" i="2"/>
  <c r="S165" i="2"/>
  <c r="K165" i="2"/>
  <c r="AG165" i="2"/>
  <c r="AX165" i="2"/>
  <c r="AP165" i="2"/>
  <c r="AH165" i="2"/>
  <c r="Z165" i="2"/>
  <c r="R165" i="2"/>
  <c r="J165" i="2"/>
  <c r="Y165" i="2"/>
  <c r="I165" i="2"/>
  <c r="AW165" i="2"/>
  <c r="AO165" i="2"/>
  <c r="Q165" i="2"/>
  <c r="AV165" i="2"/>
  <c r="AN165" i="2"/>
  <c r="AF165" i="2"/>
  <c r="X165" i="2"/>
  <c r="H165" i="2"/>
  <c r="T165" i="2"/>
  <c r="AU165" i="2"/>
  <c r="AM165" i="2"/>
  <c r="AE165" i="2"/>
  <c r="W165" i="2"/>
  <c r="O165" i="2"/>
  <c r="G165" i="2"/>
  <c r="AR165" i="2"/>
  <c r="L165" i="2"/>
  <c r="AT165" i="2"/>
  <c r="AL165" i="2"/>
  <c r="AD165" i="2"/>
  <c r="V165" i="2"/>
  <c r="N165" i="2"/>
  <c r="F165" i="2"/>
  <c r="AS165" i="2"/>
  <c r="AK165" i="2"/>
  <c r="AC165" i="2"/>
  <c r="M165" i="2"/>
  <c r="AJ165" i="2"/>
  <c r="U165" i="2"/>
  <c r="J40" i="9"/>
  <c r="C26" i="9"/>
  <c r="M41" i="9"/>
  <c r="I40" i="9"/>
  <c r="AD22" i="2"/>
  <c r="AD177" i="2"/>
  <c r="AU23" i="2"/>
  <c r="AU200" i="2"/>
  <c r="AE185" i="2"/>
  <c r="AE157" i="2"/>
  <c r="AF186" i="2"/>
  <c r="AF155" i="2" s="1"/>
  <c r="AV201" i="2"/>
  <c r="AW202" i="2"/>
  <c r="M40" i="9" l="1"/>
  <c r="AE22" i="2"/>
  <c r="AE177" i="2"/>
  <c r="AV23" i="2"/>
  <c r="AV200" i="2"/>
  <c r="AG186" i="2"/>
  <c r="AG155" i="2" s="1"/>
  <c r="AF185" i="2"/>
  <c r="AF157" i="2"/>
  <c r="AX202" i="2"/>
  <c r="AW201" i="2"/>
  <c r="AW23" i="2" l="1"/>
  <c r="AW200" i="2"/>
  <c r="AF22" i="2"/>
  <c r="AF177" i="2"/>
  <c r="E51" i="2"/>
  <c r="D51" i="2"/>
  <c r="AY202" i="2"/>
  <c r="N26" i="5" s="1"/>
  <c r="AX201" i="2"/>
  <c r="AH186" i="2"/>
  <c r="AH155" i="2" s="1"/>
  <c r="AG185" i="2"/>
  <c r="AG157" i="2"/>
  <c r="AG22" i="2" l="1"/>
  <c r="AG177" i="2"/>
  <c r="AX23" i="2"/>
  <c r="AX200" i="2"/>
  <c r="D15" i="2"/>
  <c r="E15" i="2" s="1"/>
  <c r="D13" i="2"/>
  <c r="E13" i="2"/>
  <c r="AH185" i="2"/>
  <c r="AI186" i="2"/>
  <c r="AI155" i="2" s="1"/>
  <c r="AH157" i="2"/>
  <c r="AZ202" i="2"/>
  <c r="AY201" i="2"/>
  <c r="AY200" i="2" l="1"/>
  <c r="O26" i="5"/>
  <c r="AH22" i="2"/>
  <c r="AH177" i="2"/>
  <c r="D17" i="2"/>
  <c r="E17" i="2" s="1"/>
  <c r="AY23" i="2"/>
  <c r="F51" i="2"/>
  <c r="E14" i="2"/>
  <c r="AZ201" i="2"/>
  <c r="BA202" i="2"/>
  <c r="AI185" i="2"/>
  <c r="AJ186" i="2"/>
  <c r="AJ155" i="2" s="1"/>
  <c r="AI157" i="2"/>
  <c r="AZ200" i="2" l="1"/>
  <c r="N51" i="2"/>
  <c r="I78" i="5"/>
  <c r="I53" i="5" s="1"/>
  <c r="I15" i="5" s="1"/>
  <c r="L51" i="2"/>
  <c r="AI22" i="2"/>
  <c r="AI177" i="2"/>
  <c r="F15" i="2"/>
  <c r="I51" i="2"/>
  <c r="H51" i="2"/>
  <c r="AZ23" i="2"/>
  <c r="O51" i="2"/>
  <c r="M51" i="2"/>
  <c r="BG169" i="2"/>
  <c r="BG172" i="2"/>
  <c r="BG167" i="2"/>
  <c r="P153" i="2"/>
  <c r="P172" i="2"/>
  <c r="P167" i="2"/>
  <c r="P169" i="2"/>
  <c r="CB172" i="2"/>
  <c r="CB167" i="2"/>
  <c r="CB169" i="2"/>
  <c r="Q172" i="2"/>
  <c r="Q153" i="2"/>
  <c r="Q151" i="2" s="1"/>
  <c r="Q169" i="2"/>
  <c r="Q167" i="2"/>
  <c r="CC169" i="2"/>
  <c r="CC172" i="2"/>
  <c r="CC167" i="2"/>
  <c r="AP153" i="2"/>
  <c r="AP167" i="2"/>
  <c r="AP169" i="2"/>
  <c r="AP172" i="2"/>
  <c r="BS169" i="2"/>
  <c r="BS172" i="2"/>
  <c r="BS167" i="2"/>
  <c r="BO169" i="2"/>
  <c r="BO172" i="2"/>
  <c r="BO167" i="2"/>
  <c r="T153" i="2"/>
  <c r="T151" i="2" s="1"/>
  <c r="T172" i="2"/>
  <c r="T169" i="2"/>
  <c r="T167" i="2"/>
  <c r="CF172" i="2"/>
  <c r="CF169" i="2"/>
  <c r="CF167" i="2"/>
  <c r="AK169" i="2"/>
  <c r="AK153" i="2"/>
  <c r="AK167" i="2"/>
  <c r="AK172" i="2"/>
  <c r="F172" i="2"/>
  <c r="F167" i="2"/>
  <c r="F169" i="2"/>
  <c r="BR169" i="2"/>
  <c r="BR172" i="2"/>
  <c r="BR167" i="2"/>
  <c r="BT172" i="2"/>
  <c r="BT167" i="2"/>
  <c r="BT169" i="2"/>
  <c r="BU169" i="2"/>
  <c r="BU172" i="2"/>
  <c r="BU167" i="2"/>
  <c r="AH153" i="2"/>
  <c r="AH151" i="2" s="1"/>
  <c r="AH169" i="2"/>
  <c r="AH172" i="2"/>
  <c r="AH167" i="2"/>
  <c r="BJ169" i="2"/>
  <c r="BJ167" i="2"/>
  <c r="BJ172" i="2"/>
  <c r="G51" i="2"/>
  <c r="X153" i="2"/>
  <c r="X151" i="2" s="1"/>
  <c r="X172" i="2"/>
  <c r="X169" i="2"/>
  <c r="X167" i="2"/>
  <c r="CJ172" i="2"/>
  <c r="CJ167" i="2"/>
  <c r="CJ169" i="2"/>
  <c r="Y172" i="2"/>
  <c r="Y153" i="2"/>
  <c r="Y151" i="2" s="1"/>
  <c r="Y169" i="2"/>
  <c r="Y167" i="2"/>
  <c r="CK169" i="2"/>
  <c r="CK172" i="2"/>
  <c r="CK167" i="2"/>
  <c r="AX167" i="2"/>
  <c r="AX153" i="2"/>
  <c r="AX172" i="2"/>
  <c r="AX169" i="2"/>
  <c r="K169" i="2"/>
  <c r="K167" i="2"/>
  <c r="K172" i="2"/>
  <c r="BW169" i="2"/>
  <c r="BW167" i="2"/>
  <c r="BW172" i="2"/>
  <c r="AB169" i="2"/>
  <c r="AB153" i="2"/>
  <c r="AB167" i="2"/>
  <c r="AB172" i="2"/>
  <c r="CN169" i="2"/>
  <c r="CN167" i="2"/>
  <c r="CN172" i="2"/>
  <c r="AS167" i="2"/>
  <c r="AS172" i="2"/>
  <c r="AS153" i="2"/>
  <c r="AS169" i="2"/>
  <c r="N172" i="2"/>
  <c r="N169" i="2"/>
  <c r="N167" i="2"/>
  <c r="BZ169" i="2"/>
  <c r="BZ167" i="2"/>
  <c r="BZ172" i="2"/>
  <c r="CO167" i="2"/>
  <c r="CO172" i="2"/>
  <c r="CO169" i="2"/>
  <c r="J51" i="2"/>
  <c r="AF153" i="2"/>
  <c r="AF151" i="2" s="1"/>
  <c r="AF172" i="2"/>
  <c r="AF169" i="2"/>
  <c r="AF167" i="2"/>
  <c r="CR169" i="2"/>
  <c r="CR172" i="2"/>
  <c r="CR167" i="2"/>
  <c r="AG172" i="2"/>
  <c r="AG167" i="2"/>
  <c r="AG153" i="2"/>
  <c r="AG151" i="2" s="1"/>
  <c r="AG169" i="2"/>
  <c r="CS172" i="2"/>
  <c r="CS169" i="2"/>
  <c r="CS167" i="2"/>
  <c r="BF167" i="2"/>
  <c r="BF169" i="2"/>
  <c r="BF172" i="2"/>
  <c r="S169" i="2"/>
  <c r="S153" i="2"/>
  <c r="S151" i="2" s="1"/>
  <c r="S167" i="2"/>
  <c r="S172" i="2"/>
  <c r="CE169" i="2"/>
  <c r="CE172" i="2"/>
  <c r="CE167" i="2"/>
  <c r="AJ169" i="2"/>
  <c r="AJ153" i="2"/>
  <c r="AJ167" i="2"/>
  <c r="AJ172" i="2"/>
  <c r="W169" i="2"/>
  <c r="W153" i="2"/>
  <c r="W151" i="2" s="1"/>
  <c r="W172" i="2"/>
  <c r="W167" i="2"/>
  <c r="BA172" i="2"/>
  <c r="BA169" i="2"/>
  <c r="BA153" i="2"/>
  <c r="BA167" i="2"/>
  <c r="V153" i="2"/>
  <c r="V151" i="2" s="1"/>
  <c r="V169" i="2"/>
  <c r="V167" i="2"/>
  <c r="V172" i="2"/>
  <c r="CH169" i="2"/>
  <c r="CH172" i="2"/>
  <c r="CH167" i="2"/>
  <c r="L172" i="2"/>
  <c r="L167" i="2"/>
  <c r="L169" i="2"/>
  <c r="AN153" i="2"/>
  <c r="AN172" i="2"/>
  <c r="AN169" i="2"/>
  <c r="AN167" i="2"/>
  <c r="G169" i="2"/>
  <c r="G172" i="2"/>
  <c r="G167" i="2"/>
  <c r="AO153" i="2"/>
  <c r="AO169" i="2"/>
  <c r="AO172" i="2"/>
  <c r="AO167" i="2"/>
  <c r="CQ169" i="2"/>
  <c r="CQ167" i="2"/>
  <c r="CQ172" i="2"/>
  <c r="BN167" i="2"/>
  <c r="BN169" i="2"/>
  <c r="BN172" i="2"/>
  <c r="AA169" i="2"/>
  <c r="AA167" i="2"/>
  <c r="AA153" i="2"/>
  <c r="AA151" i="2" s="1"/>
  <c r="AA172" i="2"/>
  <c r="CM169" i="2"/>
  <c r="CM167" i="2"/>
  <c r="CM172" i="2"/>
  <c r="AR169" i="2"/>
  <c r="AR153" i="2"/>
  <c r="AR167" i="2"/>
  <c r="AR172" i="2"/>
  <c r="AM169" i="2"/>
  <c r="AM153" i="2"/>
  <c r="AM167" i="2"/>
  <c r="AM172" i="2"/>
  <c r="BI167" i="2"/>
  <c r="BI172" i="2"/>
  <c r="BI169" i="2"/>
  <c r="AD172" i="2"/>
  <c r="AD167" i="2"/>
  <c r="AD153" i="2"/>
  <c r="AD151" i="2" s="1"/>
  <c r="AD169" i="2"/>
  <c r="CP169" i="2"/>
  <c r="CP167" i="2"/>
  <c r="CP172" i="2"/>
  <c r="H172" i="2"/>
  <c r="H169" i="2"/>
  <c r="H167" i="2"/>
  <c r="I172" i="2"/>
  <c r="I169" i="2"/>
  <c r="I167" i="2"/>
  <c r="BX169" i="2"/>
  <c r="BX167" i="2"/>
  <c r="BX172" i="2"/>
  <c r="K51" i="2"/>
  <c r="AV153" i="2"/>
  <c r="AV172" i="2"/>
  <c r="AV167" i="2"/>
  <c r="AV169" i="2"/>
  <c r="AE169" i="2"/>
  <c r="AE153" i="2"/>
  <c r="AE151" i="2" s="1"/>
  <c r="AE167" i="2"/>
  <c r="AE172" i="2"/>
  <c r="AW169" i="2"/>
  <c r="AW153" i="2"/>
  <c r="AW172" i="2"/>
  <c r="AW167" i="2"/>
  <c r="J167" i="2"/>
  <c r="J169" i="2"/>
  <c r="J172" i="2"/>
  <c r="BV167" i="2"/>
  <c r="BV169" i="2"/>
  <c r="BV172" i="2"/>
  <c r="AI169" i="2"/>
  <c r="AI153" i="2"/>
  <c r="AI151" i="2" s="1"/>
  <c r="AI172" i="2"/>
  <c r="AI167" i="2"/>
  <c r="CU169" i="2"/>
  <c r="CU172" i="2"/>
  <c r="CU167" i="2"/>
  <c r="AZ169" i="2"/>
  <c r="AZ153" i="2"/>
  <c r="AZ172" i="2"/>
  <c r="AZ167" i="2"/>
  <c r="CA169" i="2"/>
  <c r="CA167" i="2"/>
  <c r="CA172" i="2"/>
  <c r="BQ172" i="2"/>
  <c r="BQ169" i="2"/>
  <c r="BQ167" i="2"/>
  <c r="AL169" i="2"/>
  <c r="AL167" i="2"/>
  <c r="AL153" i="2"/>
  <c r="AL172" i="2"/>
  <c r="AC172" i="2"/>
  <c r="AC169" i="2"/>
  <c r="AC167" i="2"/>
  <c r="AC153" i="2"/>
  <c r="AC151" i="2" s="1"/>
  <c r="BD167" i="2"/>
  <c r="BD169" i="2"/>
  <c r="BD172" i="2"/>
  <c r="AU169" i="2"/>
  <c r="AU153" i="2"/>
  <c r="AU167" i="2"/>
  <c r="AU172" i="2"/>
  <c r="BE169" i="2"/>
  <c r="BE172" i="2"/>
  <c r="BE167" i="2"/>
  <c r="R167" i="2"/>
  <c r="R153" i="2"/>
  <c r="R151" i="2" s="1"/>
  <c r="R172" i="2"/>
  <c r="R169" i="2"/>
  <c r="CD167" i="2"/>
  <c r="CD172" i="2"/>
  <c r="CD169" i="2"/>
  <c r="AQ169" i="2"/>
  <c r="AQ153" i="2"/>
  <c r="AQ167" i="2"/>
  <c r="AQ172" i="2"/>
  <c r="O169" i="2"/>
  <c r="O167" i="2"/>
  <c r="O172" i="2"/>
  <c r="BH169" i="2"/>
  <c r="BH167" i="2"/>
  <c r="BH172" i="2"/>
  <c r="M172" i="2"/>
  <c r="M169" i="2"/>
  <c r="M167" i="2"/>
  <c r="BY167" i="2"/>
  <c r="BY172" i="2"/>
  <c r="BY169" i="2"/>
  <c r="AT169" i="2"/>
  <c r="AT167" i="2"/>
  <c r="AT153" i="2"/>
  <c r="AT172" i="2"/>
  <c r="CT167" i="2"/>
  <c r="CT169" i="2"/>
  <c r="CT172" i="2"/>
  <c r="BC169" i="2"/>
  <c r="BC172" i="2"/>
  <c r="BC167" i="2"/>
  <c r="BL172" i="2"/>
  <c r="BL167" i="2"/>
  <c r="BL169" i="2"/>
  <c r="CI169" i="2"/>
  <c r="CI172" i="2"/>
  <c r="CI167" i="2"/>
  <c r="BM169" i="2"/>
  <c r="BM172" i="2"/>
  <c r="BM167" i="2"/>
  <c r="Z153" i="2"/>
  <c r="Z151" i="2" s="1"/>
  <c r="Z167" i="2"/>
  <c r="Z169" i="2"/>
  <c r="Z172" i="2"/>
  <c r="CL169" i="2"/>
  <c r="CL172" i="2"/>
  <c r="CL167" i="2"/>
  <c r="AY169" i="2"/>
  <c r="AY153" i="2"/>
  <c r="AY167" i="2"/>
  <c r="AY172" i="2"/>
  <c r="BK169" i="2"/>
  <c r="BK167" i="2"/>
  <c r="BK172" i="2"/>
  <c r="BP169" i="2"/>
  <c r="BP167" i="2"/>
  <c r="BP172" i="2"/>
  <c r="U167" i="2"/>
  <c r="U169" i="2"/>
  <c r="U153" i="2"/>
  <c r="U151" i="2" s="1"/>
  <c r="U172" i="2"/>
  <c r="CG169" i="2"/>
  <c r="CG172" i="2"/>
  <c r="CG167" i="2"/>
  <c r="BB172" i="2"/>
  <c r="BB167" i="2"/>
  <c r="BB153" i="2"/>
  <c r="BB169" i="2"/>
  <c r="AK186" i="2"/>
  <c r="AK155" i="2" s="1"/>
  <c r="AJ157" i="2"/>
  <c r="AJ185" i="2"/>
  <c r="BB202" i="2"/>
  <c r="BA201" i="2"/>
  <c r="U53" i="2" l="1"/>
  <c r="U50" i="2"/>
  <c r="AC53" i="2"/>
  <c r="AC50" i="2"/>
  <c r="V53" i="2"/>
  <c r="V50" i="2"/>
  <c r="T53" i="2"/>
  <c r="T50" i="2"/>
  <c r="Q53" i="2"/>
  <c r="Q50" i="2"/>
  <c r="AD53" i="2"/>
  <c r="AD50" i="2"/>
  <c r="Y53" i="2"/>
  <c r="Y50" i="2"/>
  <c r="X53" i="2"/>
  <c r="X50" i="2"/>
  <c r="AH53" i="2"/>
  <c r="AH50" i="2"/>
  <c r="S53" i="2"/>
  <c r="S50" i="2"/>
  <c r="Z53" i="2"/>
  <c r="Z50" i="2"/>
  <c r="AA53" i="2"/>
  <c r="AA50" i="2"/>
  <c r="AG53" i="2"/>
  <c r="AG50" i="2"/>
  <c r="R53" i="2"/>
  <c r="R50" i="2"/>
  <c r="AF53" i="2"/>
  <c r="AF50" i="2"/>
  <c r="AE53" i="2"/>
  <c r="AE50" i="2"/>
  <c r="AI53" i="2"/>
  <c r="AI50" i="2"/>
  <c r="W53" i="2"/>
  <c r="W50" i="2"/>
  <c r="I16" i="5"/>
  <c r="AB151" i="2"/>
  <c r="M68" i="5"/>
  <c r="O68" i="5"/>
  <c r="P151" i="2"/>
  <c r="K68" i="5"/>
  <c r="Q68" i="5"/>
  <c r="M23" i="5"/>
  <c r="I23" i="5"/>
  <c r="K23" i="5"/>
  <c r="S23" i="5"/>
  <c r="U23" i="5"/>
  <c r="O23" i="5"/>
  <c r="Q23" i="5"/>
  <c r="W23" i="5"/>
  <c r="M22" i="5"/>
  <c r="S22" i="5"/>
  <c r="O22" i="5"/>
  <c r="Q22" i="5"/>
  <c r="U22" i="5"/>
  <c r="W22" i="5"/>
  <c r="I22" i="5"/>
  <c r="K22" i="5"/>
  <c r="K65" i="5"/>
  <c r="AJ151" i="2"/>
  <c r="BA23" i="2"/>
  <c r="BA200" i="2"/>
  <c r="AJ22" i="2"/>
  <c r="AJ177" i="2"/>
  <c r="G15" i="2"/>
  <c r="H15" i="2" s="1"/>
  <c r="I15" i="2" s="1"/>
  <c r="J15" i="2" s="1"/>
  <c r="K15" i="2" s="1"/>
  <c r="L15" i="2" s="1"/>
  <c r="M15" i="2" s="1"/>
  <c r="N15" i="2" s="1"/>
  <c r="O15" i="2" s="1"/>
  <c r="N22" i="5"/>
  <c r="R23" i="5"/>
  <c r="P23" i="5"/>
  <c r="N23" i="5"/>
  <c r="P22" i="5"/>
  <c r="T23" i="5"/>
  <c r="J22" i="5"/>
  <c r="R22" i="5"/>
  <c r="T22" i="5"/>
  <c r="H22" i="5"/>
  <c r="J23" i="5"/>
  <c r="L23" i="5"/>
  <c r="V22" i="5"/>
  <c r="H23" i="5"/>
  <c r="L22" i="5"/>
  <c r="V23" i="5"/>
  <c r="R166" i="2"/>
  <c r="L164" i="2"/>
  <c r="AA164" i="2"/>
  <c r="CQ166" i="2"/>
  <c r="BK166" i="2"/>
  <c r="BN166" i="2"/>
  <c r="AG166" i="2"/>
  <c r="CD166" i="2"/>
  <c r="AX164" i="2"/>
  <c r="AX20" i="2" s="1"/>
  <c r="CI164" i="2"/>
  <c r="CI20" i="2" s="1"/>
  <c r="CI166" i="2"/>
  <c r="V164" i="2"/>
  <c r="V166" i="2"/>
  <c r="CK166" i="2"/>
  <c r="CK164" i="2"/>
  <c r="CK20" i="2" s="1"/>
  <c r="AH164" i="2"/>
  <c r="AH166" i="2"/>
  <c r="CA164" i="2"/>
  <c r="CA20" i="2" s="1"/>
  <c r="CA166" i="2"/>
  <c r="BV164" i="2"/>
  <c r="BV20" i="2" s="1"/>
  <c r="BV166" i="2"/>
  <c r="W51" i="2"/>
  <c r="BF164" i="2"/>
  <c r="BF20" i="2" s="1"/>
  <c r="BF166" i="2"/>
  <c r="Z166" i="2"/>
  <c r="AT166" i="2"/>
  <c r="AT164" i="2"/>
  <c r="AT20" i="2" s="1"/>
  <c r="R164" i="2"/>
  <c r="AU166" i="2"/>
  <c r="CP166" i="2"/>
  <c r="CP164" i="2"/>
  <c r="CP20" i="2" s="1"/>
  <c r="AR166" i="2"/>
  <c r="AR164" i="2"/>
  <c r="AR20" i="2" s="1"/>
  <c r="AA51" i="2"/>
  <c r="CQ164" i="2"/>
  <c r="CQ20" i="2" s="1"/>
  <c r="V51" i="2"/>
  <c r="AF51" i="2"/>
  <c r="AB166" i="2"/>
  <c r="AB164" i="2"/>
  <c r="AB20" i="2" s="1"/>
  <c r="K166" i="2"/>
  <c r="K164" i="2"/>
  <c r="L166" i="2"/>
  <c r="CO166" i="2"/>
  <c r="CO164" i="2"/>
  <c r="CO20" i="2" s="1"/>
  <c r="CJ164" i="2"/>
  <c r="CJ20" i="2" s="1"/>
  <c r="CJ166" i="2"/>
  <c r="BT164" i="2"/>
  <c r="BT20" i="2" s="1"/>
  <c r="BT166" i="2"/>
  <c r="AP164" i="2"/>
  <c r="AP20" i="2" s="1"/>
  <c r="AP166" i="2"/>
  <c r="Z51" i="2"/>
  <c r="AQ166" i="2"/>
  <c r="AQ164" i="2"/>
  <c r="AQ20" i="2" s="1"/>
  <c r="AU164" i="2"/>
  <c r="AU20" i="2" s="1"/>
  <c r="AC51" i="2"/>
  <c r="BQ166" i="2"/>
  <c r="BQ164" i="2"/>
  <c r="BQ20" i="2" s="1"/>
  <c r="AZ166" i="2"/>
  <c r="AZ164" i="2"/>
  <c r="AZ20" i="2" s="1"/>
  <c r="AI166" i="2"/>
  <c r="AI164" i="2"/>
  <c r="AE166" i="2"/>
  <c r="AE164" i="2"/>
  <c r="I166" i="2"/>
  <c r="I164" i="2"/>
  <c r="AA166" i="2"/>
  <c r="CH166" i="2"/>
  <c r="CH164" i="2"/>
  <c r="CH20" i="2" s="1"/>
  <c r="BA166" i="2"/>
  <c r="BA164" i="2"/>
  <c r="BA20" i="2" s="1"/>
  <c r="CS166" i="2"/>
  <c r="CS164" i="2"/>
  <c r="CS20" i="2" s="1"/>
  <c r="CR164" i="2"/>
  <c r="CR20" i="2" s="1"/>
  <c r="CR166" i="2"/>
  <c r="AH51" i="2"/>
  <c r="T164" i="2"/>
  <c r="T166" i="2"/>
  <c r="BS166" i="2"/>
  <c r="BS164" i="2"/>
  <c r="BS20" i="2" s="1"/>
  <c r="CC166" i="2"/>
  <c r="CC164" i="2"/>
  <c r="CC20" i="2" s="1"/>
  <c r="BG166" i="2"/>
  <c r="BG164" i="2"/>
  <c r="BG20" i="2" s="1"/>
  <c r="BX166" i="2"/>
  <c r="BX164" i="2"/>
  <c r="BX20" i="2" s="1"/>
  <c r="AG51" i="2"/>
  <c r="AY166" i="2"/>
  <c r="AY164" i="2"/>
  <c r="AY20" i="2" s="1"/>
  <c r="G164" i="2"/>
  <c r="G166" i="2"/>
  <c r="Q51" i="2"/>
  <c r="CL164" i="2"/>
  <c r="CL20" i="2" s="1"/>
  <c r="CL166" i="2"/>
  <c r="BM166" i="2"/>
  <c r="BM164" i="2"/>
  <c r="BM20" i="2" s="1"/>
  <c r="BH164" i="2"/>
  <c r="BH20" i="2" s="1"/>
  <c r="BH166" i="2"/>
  <c r="R51" i="2"/>
  <c r="AC166" i="2"/>
  <c r="AC164" i="2"/>
  <c r="J166" i="2"/>
  <c r="AE51" i="2"/>
  <c r="BI166" i="2"/>
  <c r="BI164" i="2"/>
  <c r="BI20" i="2" s="1"/>
  <c r="AN164" i="2"/>
  <c r="AN20" i="2" s="1"/>
  <c r="AN166" i="2"/>
  <c r="AJ166" i="2"/>
  <c r="AJ164" i="2"/>
  <c r="AJ20" i="2" s="1"/>
  <c r="S166" i="2"/>
  <c r="S164" i="2"/>
  <c r="BZ164" i="2"/>
  <c r="BZ20" i="2" s="1"/>
  <c r="BZ166" i="2"/>
  <c r="AS166" i="2"/>
  <c r="AS164" i="2"/>
  <c r="AS20" i="2" s="1"/>
  <c r="Y166" i="2"/>
  <c r="Y164" i="2"/>
  <c r="X164" i="2"/>
  <c r="X166" i="2"/>
  <c r="BU164" i="2"/>
  <c r="BU20" i="2" s="1"/>
  <c r="BU166" i="2"/>
  <c r="BR166" i="2"/>
  <c r="BR164" i="2"/>
  <c r="BR20" i="2" s="1"/>
  <c r="AK166" i="2"/>
  <c r="AK164" i="2"/>
  <c r="AK20" i="2" s="1"/>
  <c r="CB164" i="2"/>
  <c r="CB20" i="2" s="1"/>
  <c r="CB166" i="2"/>
  <c r="BC166" i="2"/>
  <c r="BC164" i="2"/>
  <c r="BC20" i="2" s="1"/>
  <c r="BP164" i="2"/>
  <c r="BP20" i="2" s="1"/>
  <c r="BP166" i="2"/>
  <c r="AL166" i="2"/>
  <c r="AL164" i="2"/>
  <c r="AL20" i="2" s="1"/>
  <c r="U51" i="2"/>
  <c r="BL164" i="2"/>
  <c r="BL20" i="2" s="1"/>
  <c r="BL166" i="2"/>
  <c r="CT164" i="2"/>
  <c r="CT20" i="2" s="1"/>
  <c r="J164" i="2"/>
  <c r="AM166" i="2"/>
  <c r="AO166" i="2"/>
  <c r="AO164" i="2"/>
  <c r="AO20" i="2" s="1"/>
  <c r="S51" i="2"/>
  <c r="CG164" i="2"/>
  <c r="CG20" i="2" s="1"/>
  <c r="CG166" i="2"/>
  <c r="M166" i="2"/>
  <c r="M164" i="2"/>
  <c r="BD166" i="2"/>
  <c r="BD164" i="2"/>
  <c r="BD20" i="2" s="1"/>
  <c r="Z164" i="2"/>
  <c r="BB166" i="2"/>
  <c r="BB164" i="2"/>
  <c r="BB20" i="2" s="1"/>
  <c r="BK164" i="2"/>
  <c r="BK20" i="2" s="1"/>
  <c r="CT166" i="2"/>
  <c r="CD164" i="2"/>
  <c r="CD20" i="2" s="1"/>
  <c r="BE164" i="2"/>
  <c r="BE20" i="2" s="1"/>
  <c r="BE166" i="2"/>
  <c r="AW164" i="2"/>
  <c r="AW20" i="2" s="1"/>
  <c r="AW166" i="2"/>
  <c r="H164" i="2"/>
  <c r="H166" i="2"/>
  <c r="AD51" i="2"/>
  <c r="AM164" i="2"/>
  <c r="AM20" i="2" s="1"/>
  <c r="CM166" i="2"/>
  <c r="CM164" i="2"/>
  <c r="CM20" i="2" s="1"/>
  <c r="BN164" i="2"/>
  <c r="BN20" i="2" s="1"/>
  <c r="N166" i="2"/>
  <c r="N164" i="2"/>
  <c r="CN166" i="2"/>
  <c r="CN164" i="2"/>
  <c r="CN20" i="2" s="1"/>
  <c r="BW166" i="2"/>
  <c r="BW164" i="2"/>
  <c r="BW20" i="2" s="1"/>
  <c r="Y51" i="2"/>
  <c r="BJ164" i="2"/>
  <c r="BJ20" i="2" s="1"/>
  <c r="BJ166" i="2"/>
  <c r="T51" i="2"/>
  <c r="O164" i="2"/>
  <c r="O166" i="2"/>
  <c r="P164" i="2"/>
  <c r="P20" i="2" s="1"/>
  <c r="P166" i="2"/>
  <c r="F166" i="2"/>
  <c r="F164" i="2"/>
  <c r="F20" i="2" s="1"/>
  <c r="U166" i="2"/>
  <c r="U164" i="2"/>
  <c r="BY166" i="2"/>
  <c r="BY164" i="2"/>
  <c r="BY20" i="2" s="1"/>
  <c r="CU166" i="2"/>
  <c r="CU164" i="2"/>
  <c r="CU20" i="2" s="1"/>
  <c r="AV164" i="2"/>
  <c r="AV20" i="2" s="1"/>
  <c r="AV166" i="2"/>
  <c r="AD166" i="2"/>
  <c r="AD164" i="2"/>
  <c r="W164" i="2"/>
  <c r="W166" i="2"/>
  <c r="CE166" i="2"/>
  <c r="CE164" i="2"/>
  <c r="CE20" i="2" s="1"/>
  <c r="AG164" i="2"/>
  <c r="AF164" i="2"/>
  <c r="AF166" i="2"/>
  <c r="AX166" i="2"/>
  <c r="X51" i="2"/>
  <c r="CF166" i="2"/>
  <c r="CF164" i="2"/>
  <c r="CF20" i="2" s="1"/>
  <c r="BO166" i="2"/>
  <c r="BO164" i="2"/>
  <c r="BO20" i="2" s="1"/>
  <c r="Q166" i="2"/>
  <c r="Q164" i="2"/>
  <c r="AL186" i="2"/>
  <c r="AL155" i="2" s="1"/>
  <c r="AK185" i="2"/>
  <c r="AK157" i="2"/>
  <c r="AK151" i="2" s="1"/>
  <c r="AI51" i="2"/>
  <c r="BC202" i="2"/>
  <c r="BB201" i="2"/>
  <c r="AB53" i="2" l="1"/>
  <c r="AB50" i="2"/>
  <c r="AJ53" i="2"/>
  <c r="AJ50" i="2"/>
  <c r="AK53" i="2"/>
  <c r="AK50" i="2"/>
  <c r="P53" i="2"/>
  <c r="P50" i="2"/>
  <c r="K64" i="5"/>
  <c r="T20" i="2"/>
  <c r="T19" i="2" s="1"/>
  <c r="T12" i="2" s="1"/>
  <c r="T13" i="2" s="1"/>
  <c r="L20" i="2"/>
  <c r="L19" i="2" s="1"/>
  <c r="L12" i="2" s="1"/>
  <c r="L13" i="2" s="1"/>
  <c r="Z20" i="2"/>
  <c r="Z19" i="2" s="1"/>
  <c r="Z12" i="2" s="1"/>
  <c r="Z13" i="2" s="1"/>
  <c r="S20" i="2"/>
  <c r="S19" i="2" s="1"/>
  <c r="S12" i="2" s="1"/>
  <c r="S13" i="2" s="1"/>
  <c r="G20" i="2"/>
  <c r="G19" i="2" s="1"/>
  <c r="G12" i="2" s="1"/>
  <c r="G13" i="2" s="1"/>
  <c r="X20" i="2"/>
  <c r="X19" i="2" s="1"/>
  <c r="X12" i="2" s="1"/>
  <c r="X13" i="2" s="1"/>
  <c r="AH20" i="2"/>
  <c r="AH19" i="2" s="1"/>
  <c r="AH12" i="2" s="1"/>
  <c r="AH13" i="2" s="1"/>
  <c r="AG20" i="2"/>
  <c r="AG19" i="2" s="1"/>
  <c r="AG12" i="2" s="1"/>
  <c r="AG13" i="2" s="1"/>
  <c r="AI20" i="2"/>
  <c r="AI19" i="2" s="1"/>
  <c r="AI12" i="2" s="1"/>
  <c r="AI13" i="2" s="1"/>
  <c r="W20" i="2"/>
  <c r="W19" i="2" s="1"/>
  <c r="W12" i="2" s="1"/>
  <c r="W13" i="2" s="1"/>
  <c r="Y20" i="2"/>
  <c r="Y19" i="2" s="1"/>
  <c r="Y12" i="2" s="1"/>
  <c r="Y13" i="2" s="1"/>
  <c r="I20" i="2"/>
  <c r="I19" i="2" s="1"/>
  <c r="I12" i="2" s="1"/>
  <c r="I13" i="2" s="1"/>
  <c r="H20" i="2"/>
  <c r="H19" i="2" s="1"/>
  <c r="H12" i="2" s="1"/>
  <c r="H13" i="2" s="1"/>
  <c r="AA20" i="2"/>
  <c r="AA19" i="2" s="1"/>
  <c r="AA12" i="2" s="1"/>
  <c r="AA13" i="2" s="1"/>
  <c r="O20" i="2"/>
  <c r="O19" i="2" s="1"/>
  <c r="O12" i="2" s="1"/>
  <c r="O13" i="2" s="1"/>
  <c r="Q20" i="2"/>
  <c r="Q19" i="2" s="1"/>
  <c r="Q12" i="2" s="1"/>
  <c r="Q13" i="2" s="1"/>
  <c r="AD20" i="2"/>
  <c r="AD19" i="2" s="1"/>
  <c r="AD12" i="2" s="1"/>
  <c r="AD13" i="2" s="1"/>
  <c r="U20" i="2"/>
  <c r="U19" i="2" s="1"/>
  <c r="U12" i="2" s="1"/>
  <c r="U13" i="2" s="1"/>
  <c r="M20" i="2"/>
  <c r="M19" i="2" s="1"/>
  <c r="M12" i="2" s="1"/>
  <c r="M13" i="2" s="1"/>
  <c r="AC20" i="2"/>
  <c r="AC19" i="2" s="1"/>
  <c r="AC12" i="2" s="1"/>
  <c r="AC13" i="2" s="1"/>
  <c r="J20" i="2"/>
  <c r="J19" i="2" s="1"/>
  <c r="J12" i="2" s="1"/>
  <c r="J13" i="2" s="1"/>
  <c r="AE20" i="2"/>
  <c r="AE19" i="2" s="1"/>
  <c r="AE12" i="2" s="1"/>
  <c r="AE13" i="2" s="1"/>
  <c r="K20" i="2"/>
  <c r="K19" i="2" s="1"/>
  <c r="K12" i="2" s="1"/>
  <c r="K13" i="2" s="1"/>
  <c r="R20" i="2"/>
  <c r="R19" i="2" s="1"/>
  <c r="R12" i="2" s="1"/>
  <c r="R13" i="2" s="1"/>
  <c r="AF20" i="2"/>
  <c r="AF19" i="2" s="1"/>
  <c r="AF12" i="2" s="1"/>
  <c r="AF13" i="2" s="1"/>
  <c r="N20" i="2"/>
  <c r="N19" i="2" s="1"/>
  <c r="N12" i="2" s="1"/>
  <c r="N13" i="2" s="1"/>
  <c r="V20" i="2"/>
  <c r="V19" i="2" s="1"/>
  <c r="V12" i="2" s="1"/>
  <c r="V13" i="2" s="1"/>
  <c r="I20" i="5"/>
  <c r="I12" i="5" s="1"/>
  <c r="AJ19" i="2"/>
  <c r="AJ12" i="2" s="1"/>
  <c r="K82" i="5"/>
  <c r="K78" i="5" s="1"/>
  <c r="AK22" i="2"/>
  <c r="AK19" i="2" s="1"/>
  <c r="AK12" i="2" s="1"/>
  <c r="AK177" i="2"/>
  <c r="BB23" i="2"/>
  <c r="BB200" i="2"/>
  <c r="M21" i="5"/>
  <c r="O21" i="5"/>
  <c r="Q21" i="5"/>
  <c r="W21" i="5"/>
  <c r="I21" i="5"/>
  <c r="U21" i="5"/>
  <c r="S21" i="5"/>
  <c r="K21" i="5"/>
  <c r="AB19" i="2"/>
  <c r="AB12" i="2" s="1"/>
  <c r="F19" i="2"/>
  <c r="F12" i="2" s="1"/>
  <c r="P19" i="2"/>
  <c r="P12" i="2" s="1"/>
  <c r="P51" i="2"/>
  <c r="AB51" i="2"/>
  <c r="K20" i="5"/>
  <c r="K12" i="5" s="1"/>
  <c r="AJ51" i="2"/>
  <c r="BC201" i="2"/>
  <c r="BD202" i="2"/>
  <c r="AL185" i="2"/>
  <c r="AM186" i="2"/>
  <c r="AL157" i="2"/>
  <c r="AL151" i="2" s="1"/>
  <c r="K53" i="5" l="1"/>
  <c r="AL53" i="2"/>
  <c r="AL50" i="2"/>
  <c r="I13" i="5"/>
  <c r="I17" i="5"/>
  <c r="F13" i="2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AJ13" i="2"/>
  <c r="AB13" i="2"/>
  <c r="L25" i="5"/>
  <c r="AM155" i="2"/>
  <c r="M67" i="5" s="1"/>
  <c r="AL22" i="2"/>
  <c r="AL19" i="2" s="1"/>
  <c r="AL12" i="2" s="1"/>
  <c r="AL177" i="2"/>
  <c r="BC23" i="2"/>
  <c r="BC200" i="2"/>
  <c r="F16" i="2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P15" i="2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P13" i="2"/>
  <c r="K17" i="5"/>
  <c r="AK51" i="2"/>
  <c r="AN186" i="2"/>
  <c r="AM157" i="2"/>
  <c r="M66" i="5" s="1"/>
  <c r="AM185" i="2"/>
  <c r="M25" i="5" s="1"/>
  <c r="BD201" i="2"/>
  <c r="BE202" i="2"/>
  <c r="K13" i="5" l="1"/>
  <c r="K15" i="5"/>
  <c r="I14" i="5"/>
  <c r="I18" i="5"/>
  <c r="F14" i="2"/>
  <c r="AM151" i="2"/>
  <c r="AN155" i="2"/>
  <c r="AL16" i="2"/>
  <c r="BD23" i="2"/>
  <c r="BD200" i="2"/>
  <c r="AM22" i="2"/>
  <c r="AM19" i="2" s="1"/>
  <c r="AM12" i="2" s="1"/>
  <c r="AM177" i="2"/>
  <c r="M24" i="5" s="1"/>
  <c r="M20" i="5" s="1"/>
  <c r="M12" i="5" s="1"/>
  <c r="M17" i="5" s="1"/>
  <c r="AK13" i="2"/>
  <c r="P17" i="2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BF202" i="2"/>
  <c r="BE201" i="2"/>
  <c r="AL13" i="2"/>
  <c r="AL51" i="2"/>
  <c r="AO186" i="2"/>
  <c r="AO155" i="2" s="1"/>
  <c r="AN157" i="2"/>
  <c r="AN185" i="2"/>
  <c r="AK15" i="2"/>
  <c r="K18" i="5" l="1"/>
  <c r="K14" i="5"/>
  <c r="AM53" i="2"/>
  <c r="M65" i="5" s="1"/>
  <c r="M64" i="5" s="1"/>
  <c r="AM50" i="2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AN151" i="2"/>
  <c r="M82" i="5"/>
  <c r="M78" i="5" s="1"/>
  <c r="BE23" i="2"/>
  <c r="BE200" i="2"/>
  <c r="AN22" i="2"/>
  <c r="AN19" i="2" s="1"/>
  <c r="AN12" i="2" s="1"/>
  <c r="AN177" i="2"/>
  <c r="AM16" i="2"/>
  <c r="AK17" i="2"/>
  <c r="AL17" i="2" s="1"/>
  <c r="AL15" i="2"/>
  <c r="AM51" i="2"/>
  <c r="AP186" i="2"/>
  <c r="AP155" i="2" s="1"/>
  <c r="AO185" i="2"/>
  <c r="AO157" i="2"/>
  <c r="AO151" i="2" s="1"/>
  <c r="BG202" i="2"/>
  <c r="BF201" i="2"/>
  <c r="M53" i="5" l="1"/>
  <c r="M15" i="5" s="1"/>
  <c r="AO53" i="2"/>
  <c r="AO50" i="2"/>
  <c r="AN53" i="2"/>
  <c r="AN50" i="2"/>
  <c r="R14" i="2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BF23" i="2"/>
  <c r="BF200" i="2"/>
  <c r="AO22" i="2"/>
  <c r="AO19" i="2" s="1"/>
  <c r="AO12" i="2" s="1"/>
  <c r="AO177" i="2"/>
  <c r="AM13" i="2"/>
  <c r="AM15" i="2"/>
  <c r="AN51" i="2"/>
  <c r="AP185" i="2"/>
  <c r="AQ186" i="2"/>
  <c r="AQ155" i="2" s="1"/>
  <c r="AP157" i="2"/>
  <c r="AP151" i="2" s="1"/>
  <c r="BH202" i="2"/>
  <c r="BG201" i="2"/>
  <c r="AN16" i="2"/>
  <c r="AP53" i="2" l="1"/>
  <c r="AP50" i="2"/>
  <c r="K16" i="5"/>
  <c r="BG23" i="2"/>
  <c r="BG200" i="2"/>
  <c r="AP22" i="2"/>
  <c r="AP19" i="2" s="1"/>
  <c r="AP12" i="2" s="1"/>
  <c r="AP177" i="2"/>
  <c r="AO16" i="2"/>
  <c r="AM14" i="2"/>
  <c r="AM17" i="2"/>
  <c r="AN13" i="2"/>
  <c r="AN15" i="2"/>
  <c r="AO13" i="2"/>
  <c r="AO51" i="2"/>
  <c r="AQ185" i="2"/>
  <c r="AR186" i="2"/>
  <c r="AR155" i="2" s="1"/>
  <c r="AQ157" i="2"/>
  <c r="AQ151" i="2" s="1"/>
  <c r="BH201" i="2"/>
  <c r="BI202" i="2"/>
  <c r="AQ53" i="2" l="1"/>
  <c r="AQ50" i="2"/>
  <c r="AP16" i="2"/>
  <c r="AQ22" i="2"/>
  <c r="AQ19" i="2" s="1"/>
  <c r="AQ12" i="2" s="1"/>
  <c r="AQ177" i="2"/>
  <c r="BH23" i="2"/>
  <c r="BH200" i="2"/>
  <c r="AN17" i="2"/>
  <c r="AO17" i="2" s="1"/>
  <c r="AN14" i="2"/>
  <c r="AO14" i="2" s="1"/>
  <c r="AP51" i="2"/>
  <c r="AP13" i="2"/>
  <c r="AO15" i="2"/>
  <c r="BJ202" i="2"/>
  <c r="BI201" i="2"/>
  <c r="AS186" i="2"/>
  <c r="AR185" i="2"/>
  <c r="AR157" i="2"/>
  <c r="AR151" i="2" s="1"/>
  <c r="AR53" i="2" l="1"/>
  <c r="AR50" i="2"/>
  <c r="AS155" i="2"/>
  <c r="AQ51" i="2"/>
  <c r="AQ16" i="2"/>
  <c r="BI23" i="2"/>
  <c r="BI200" i="2"/>
  <c r="AR22" i="2"/>
  <c r="AR19" i="2" s="1"/>
  <c r="AR12" i="2" s="1"/>
  <c r="AR177" i="2"/>
  <c r="AP17" i="2"/>
  <c r="AP14" i="2"/>
  <c r="AP15" i="2"/>
  <c r="AQ13" i="2"/>
  <c r="BK202" i="2"/>
  <c r="P26" i="5" s="1"/>
  <c r="BJ201" i="2"/>
  <c r="AT186" i="2"/>
  <c r="AT155" i="2" s="1"/>
  <c r="AS185" i="2"/>
  <c r="AS157" i="2"/>
  <c r="AS151" i="2" l="1"/>
  <c r="AR51" i="2"/>
  <c r="AS22" i="2"/>
  <c r="AS19" i="2" s="1"/>
  <c r="AS12" i="2" s="1"/>
  <c r="AS177" i="2"/>
  <c r="BJ23" i="2"/>
  <c r="BJ200" i="2"/>
  <c r="AR16" i="2"/>
  <c r="AQ17" i="2"/>
  <c r="AR13" i="2"/>
  <c r="AQ15" i="2"/>
  <c r="AQ14" i="2"/>
  <c r="BL202" i="2"/>
  <c r="BK201" i="2"/>
  <c r="AT185" i="2"/>
  <c r="AU186" i="2"/>
  <c r="AU155" i="2" s="1"/>
  <c r="AT157" i="2"/>
  <c r="AT151" i="2" s="1"/>
  <c r="AT53" i="2" l="1"/>
  <c r="AT50" i="2"/>
  <c r="AS53" i="2"/>
  <c r="AS50" i="2"/>
  <c r="BK200" i="2"/>
  <c r="Q26" i="5"/>
  <c r="AS16" i="2"/>
  <c r="AT22" i="2"/>
  <c r="AT19" i="2" s="1"/>
  <c r="AT12" i="2" s="1"/>
  <c r="AT177" i="2"/>
  <c r="BK23" i="2"/>
  <c r="AR15" i="2"/>
  <c r="AR17" i="2"/>
  <c r="AS51" i="2"/>
  <c r="AU185" i="2"/>
  <c r="AU157" i="2"/>
  <c r="AU151" i="2" s="1"/>
  <c r="AV186" i="2"/>
  <c r="AV155" i="2" s="1"/>
  <c r="AR14" i="2"/>
  <c r="BM202" i="2"/>
  <c r="BL201" i="2"/>
  <c r="AU53" i="2" l="1"/>
  <c r="AU50" i="2"/>
  <c r="BL200" i="2"/>
  <c r="AT51" i="2"/>
  <c r="AT16" i="2"/>
  <c r="AU22" i="2"/>
  <c r="AU19" i="2" s="1"/>
  <c r="AU12" i="2" s="1"/>
  <c r="AU177" i="2"/>
  <c r="BL23" i="2"/>
  <c r="AS15" i="2"/>
  <c r="AS13" i="2"/>
  <c r="AW186" i="2"/>
  <c r="AW155" i="2" s="1"/>
  <c r="AV185" i="2"/>
  <c r="AV157" i="2"/>
  <c r="AV151" i="2" s="1"/>
  <c r="BN202" i="2"/>
  <c r="BM201" i="2"/>
  <c r="AV53" i="2" l="1"/>
  <c r="AV50" i="2"/>
  <c r="AU16" i="2"/>
  <c r="AV22" i="2"/>
  <c r="AV19" i="2" s="1"/>
  <c r="AV12" i="2" s="1"/>
  <c r="AV177" i="2"/>
  <c r="BM23" i="2"/>
  <c r="BM200" i="2"/>
  <c r="AS17" i="2"/>
  <c r="AT15" i="2"/>
  <c r="AS14" i="2"/>
  <c r="AT13" i="2"/>
  <c r="AU51" i="2"/>
  <c r="AX186" i="2"/>
  <c r="AX155" i="2" s="1"/>
  <c r="AW185" i="2"/>
  <c r="AW157" i="2"/>
  <c r="AW151" i="2" s="1"/>
  <c r="BO202" i="2"/>
  <c r="BN201" i="2"/>
  <c r="AW53" i="2" l="1"/>
  <c r="AW50" i="2"/>
  <c r="AV16" i="2"/>
  <c r="BN23" i="2"/>
  <c r="BN200" i="2"/>
  <c r="AW22" i="2"/>
  <c r="AW19" i="2" s="1"/>
  <c r="AW12" i="2" s="1"/>
  <c r="AW177" i="2"/>
  <c r="AU15" i="2"/>
  <c r="AV13" i="2"/>
  <c r="AV51" i="2"/>
  <c r="AT14" i="2"/>
  <c r="AU13" i="2"/>
  <c r="AT17" i="2"/>
  <c r="AX185" i="2"/>
  <c r="AY186" i="2"/>
  <c r="AX157" i="2"/>
  <c r="AX151" i="2" s="1"/>
  <c r="BP202" i="2"/>
  <c r="BO201" i="2"/>
  <c r="AX53" i="2" l="1"/>
  <c r="AX50" i="2"/>
  <c r="AW13" i="2"/>
  <c r="N25" i="5"/>
  <c r="AY155" i="2"/>
  <c r="O67" i="5" s="1"/>
  <c r="AW16" i="2"/>
  <c r="AX22" i="2"/>
  <c r="AX19" i="2" s="1"/>
  <c r="AX12" i="2" s="1"/>
  <c r="AX177" i="2"/>
  <c r="BO23" i="2"/>
  <c r="BO200" i="2"/>
  <c r="AV15" i="2"/>
  <c r="AW51" i="2"/>
  <c r="AU14" i="2"/>
  <c r="AV14" i="2" s="1"/>
  <c r="AU17" i="2"/>
  <c r="AV17" i="2" s="1"/>
  <c r="AY185" i="2"/>
  <c r="O25" i="5" s="1"/>
  <c r="AY157" i="2"/>
  <c r="O66" i="5" s="1"/>
  <c r="AZ186" i="2"/>
  <c r="BQ202" i="2"/>
  <c r="BP201" i="2"/>
  <c r="BP200" i="2" s="1"/>
  <c r="AY151" i="2" l="1"/>
  <c r="AZ155" i="2"/>
  <c r="AW15" i="2"/>
  <c r="AX13" i="2"/>
  <c r="AX16" i="2"/>
  <c r="AY22" i="2"/>
  <c r="AY19" i="2" s="1"/>
  <c r="AY12" i="2" s="1"/>
  <c r="AY177" i="2"/>
  <c r="O24" i="5" s="1"/>
  <c r="O20" i="5" s="1"/>
  <c r="O12" i="5" s="1"/>
  <c r="O17" i="5" s="1"/>
  <c r="AX51" i="2"/>
  <c r="BP23" i="2"/>
  <c r="AW17" i="2"/>
  <c r="BR202" i="2"/>
  <c r="BQ201" i="2"/>
  <c r="BA186" i="2"/>
  <c r="BA155" i="2" s="1"/>
  <c r="AZ185" i="2"/>
  <c r="AZ177" i="2" s="1"/>
  <c r="AZ157" i="2"/>
  <c r="AW14" i="2"/>
  <c r="AY53" i="2" l="1"/>
  <c r="O65" i="5" s="1"/>
  <c r="O64" i="5" s="1"/>
  <c r="AY50" i="2"/>
  <c r="AZ151" i="2"/>
  <c r="AX15" i="2"/>
  <c r="O82" i="5"/>
  <c r="O78" i="5" s="1"/>
  <c r="BQ23" i="2"/>
  <c r="BQ200" i="2"/>
  <c r="AB24" i="2"/>
  <c r="AZ22" i="2"/>
  <c r="AX17" i="2"/>
  <c r="AY51" i="2"/>
  <c r="BB186" i="2"/>
  <c r="BA185" i="2"/>
  <c r="BA157" i="2"/>
  <c r="BA151" i="2" s="1"/>
  <c r="AX14" i="2"/>
  <c r="BS202" i="2"/>
  <c r="BR201" i="2"/>
  <c r="AY16" i="2"/>
  <c r="O53" i="5" l="1"/>
  <c r="O15" i="5" s="1"/>
  <c r="BA53" i="2"/>
  <c r="BA50" i="2"/>
  <c r="AZ53" i="2"/>
  <c r="AZ50" i="2"/>
  <c r="M13" i="5"/>
  <c r="M18" i="5" s="1"/>
  <c r="M16" i="5"/>
  <c r="BB155" i="2"/>
  <c r="AY15" i="2"/>
  <c r="AY13" i="2"/>
  <c r="BR23" i="2"/>
  <c r="BR200" i="2"/>
  <c r="BA22" i="2"/>
  <c r="BA19" i="2" s="1"/>
  <c r="BA12" i="2" s="1"/>
  <c r="BA177" i="2"/>
  <c r="AZ19" i="2"/>
  <c r="AZ12" i="2" s="1"/>
  <c r="AZ16" i="2" s="1"/>
  <c r="AZ51" i="2"/>
  <c r="BB185" i="2"/>
  <c r="BC186" i="2"/>
  <c r="BC155" i="2" s="1"/>
  <c r="BB157" i="2"/>
  <c r="BS201" i="2"/>
  <c r="BT202" i="2"/>
  <c r="AY14" i="2" l="1"/>
  <c r="M14" i="5"/>
  <c r="BB151" i="2"/>
  <c r="AY17" i="2"/>
  <c r="BA16" i="2"/>
  <c r="BS23" i="2"/>
  <c r="BS200" i="2"/>
  <c r="BB22" i="2"/>
  <c r="BB19" i="2" s="1"/>
  <c r="BB12" i="2" s="1"/>
  <c r="BB177" i="2"/>
  <c r="AZ15" i="2"/>
  <c r="AZ13" i="2"/>
  <c r="BA51" i="2"/>
  <c r="BC185" i="2"/>
  <c r="BC177" i="2" s="1"/>
  <c r="BC157" i="2"/>
  <c r="BC151" i="2" s="1"/>
  <c r="BD186" i="2"/>
  <c r="BD155" i="2" s="1"/>
  <c r="BT201" i="2"/>
  <c r="BU202" i="2"/>
  <c r="BC53" i="2" l="1"/>
  <c r="BC50" i="2"/>
  <c r="BB53" i="2"/>
  <c r="BB50" i="2"/>
  <c r="O16" i="5"/>
  <c r="O13" i="5"/>
  <c r="BB16" i="2"/>
  <c r="BT23" i="2"/>
  <c r="BT200" i="2"/>
  <c r="AZ14" i="2"/>
  <c r="BA15" i="2"/>
  <c r="BC22" i="2"/>
  <c r="AZ17" i="2"/>
  <c r="BA13" i="2"/>
  <c r="BE186" i="2"/>
  <c r="BE155" i="2" s="1"/>
  <c r="BD157" i="2"/>
  <c r="BD151" i="2" s="1"/>
  <c r="BD185" i="2"/>
  <c r="BB51" i="2"/>
  <c r="BV202" i="2"/>
  <c r="BU201" i="2"/>
  <c r="BD53" i="2" l="1"/>
  <c r="BD50" i="2"/>
  <c r="O14" i="5"/>
  <c r="O18" i="5"/>
  <c r="BD22" i="2"/>
  <c r="BD19" i="2" s="1"/>
  <c r="BD12" i="2" s="1"/>
  <c r="BD177" i="2"/>
  <c r="BU23" i="2"/>
  <c r="BU200" i="2"/>
  <c r="BA14" i="2"/>
  <c r="BC19" i="2"/>
  <c r="BC12" i="2" s="1"/>
  <c r="BA17" i="2"/>
  <c r="BC51" i="2"/>
  <c r="BF186" i="2"/>
  <c r="BF155" i="2" s="1"/>
  <c r="BE185" i="2"/>
  <c r="BE157" i="2"/>
  <c r="BE151" i="2" s="1"/>
  <c r="BB15" i="2"/>
  <c r="BB13" i="2"/>
  <c r="BW202" i="2"/>
  <c r="R26" i="5" s="1"/>
  <c r="BV201" i="2"/>
  <c r="BE53" i="2" l="1"/>
  <c r="BE50" i="2"/>
  <c r="BE22" i="2"/>
  <c r="BE19" i="2" s="1"/>
  <c r="BE12" i="2" s="1"/>
  <c r="BE177" i="2"/>
  <c r="BV23" i="2"/>
  <c r="BV200" i="2"/>
  <c r="BC16" i="2"/>
  <c r="BD16" i="2" s="1"/>
  <c r="BC13" i="2"/>
  <c r="BD51" i="2"/>
  <c r="BC15" i="2"/>
  <c r="BX202" i="2"/>
  <c r="BW201" i="2"/>
  <c r="BF185" i="2"/>
  <c r="BG186" i="2"/>
  <c r="BG155" i="2" s="1"/>
  <c r="BF157" i="2"/>
  <c r="BF151" i="2" s="1"/>
  <c r="BB17" i="2"/>
  <c r="BB14" i="2"/>
  <c r="BF53" i="2" l="1"/>
  <c r="BF50" i="2"/>
  <c r="BW200" i="2"/>
  <c r="S26" i="5"/>
  <c r="BE16" i="2"/>
  <c r="BF22" i="2"/>
  <c r="BF19" i="2" s="1"/>
  <c r="BF12" i="2" s="1"/>
  <c r="BF177" i="2"/>
  <c r="BC14" i="2"/>
  <c r="BC17" i="2"/>
  <c r="BD13" i="2"/>
  <c r="BW23" i="2"/>
  <c r="BE13" i="2"/>
  <c r="BD15" i="2"/>
  <c r="BE51" i="2"/>
  <c r="BG185" i="2"/>
  <c r="BH186" i="2"/>
  <c r="BH155" i="2" s="1"/>
  <c r="BG157" i="2"/>
  <c r="BG151" i="2" s="1"/>
  <c r="BX201" i="2"/>
  <c r="BY202" i="2"/>
  <c r="BG53" i="2" l="1"/>
  <c r="BG50" i="2"/>
  <c r="BX200" i="2"/>
  <c r="BG22" i="2"/>
  <c r="BG19" i="2" s="1"/>
  <c r="BG12" i="2" s="1"/>
  <c r="BG177" i="2"/>
  <c r="BD14" i="2"/>
  <c r="BE14" i="2" s="1"/>
  <c r="BD17" i="2"/>
  <c r="BE17" i="2" s="1"/>
  <c r="BF16" i="2"/>
  <c r="BX23" i="2"/>
  <c r="BE15" i="2"/>
  <c r="BF51" i="2"/>
  <c r="BF13" i="2"/>
  <c r="BI186" i="2"/>
  <c r="BI155" i="2" s="1"/>
  <c r="BH157" i="2"/>
  <c r="BH151" i="2" s="1"/>
  <c r="BH185" i="2"/>
  <c r="BZ202" i="2"/>
  <c r="BY201" i="2"/>
  <c r="BH53" i="2" l="1"/>
  <c r="BH50" i="2"/>
  <c r="BG51" i="2"/>
  <c r="BG16" i="2"/>
  <c r="BY23" i="2"/>
  <c r="BY200" i="2"/>
  <c r="BH22" i="2"/>
  <c r="BH19" i="2" s="1"/>
  <c r="BH12" i="2" s="1"/>
  <c r="BH177" i="2"/>
  <c r="BF17" i="2"/>
  <c r="BG13" i="2"/>
  <c r="BF14" i="2"/>
  <c r="BF15" i="2"/>
  <c r="CA202" i="2"/>
  <c r="BZ201" i="2"/>
  <c r="BJ186" i="2"/>
  <c r="BJ155" i="2" s="1"/>
  <c r="BI185" i="2"/>
  <c r="BI157" i="2"/>
  <c r="BI151" i="2" s="1"/>
  <c r="BI53" i="2" l="1"/>
  <c r="BI50" i="2"/>
  <c r="BH51" i="2"/>
  <c r="BH16" i="2"/>
  <c r="BI22" i="2"/>
  <c r="BI19" i="2" s="1"/>
  <c r="BI12" i="2" s="1"/>
  <c r="BI177" i="2"/>
  <c r="BZ23" i="2"/>
  <c r="BZ200" i="2"/>
  <c r="BG17" i="2"/>
  <c r="BG14" i="2"/>
  <c r="BG15" i="2"/>
  <c r="BH13" i="2"/>
  <c r="BJ185" i="2"/>
  <c r="BK186" i="2"/>
  <c r="BJ157" i="2"/>
  <c r="BJ151" i="2" s="1"/>
  <c r="CA201" i="2"/>
  <c r="CB202" i="2"/>
  <c r="BJ53" i="2" l="1"/>
  <c r="BJ50" i="2"/>
  <c r="BI13" i="2"/>
  <c r="P25" i="5"/>
  <c r="BK155" i="2"/>
  <c r="Q67" i="5" s="1"/>
  <c r="BI16" i="2"/>
  <c r="CA23" i="2"/>
  <c r="CA200" i="2"/>
  <c r="BJ22" i="2"/>
  <c r="BJ19" i="2" s="1"/>
  <c r="BJ12" i="2" s="1"/>
  <c r="BJ177" i="2"/>
  <c r="BH15" i="2"/>
  <c r="BH14" i="2"/>
  <c r="BH17" i="2"/>
  <c r="BI51" i="2"/>
  <c r="CB201" i="2"/>
  <c r="CC202" i="2"/>
  <c r="BL186" i="2"/>
  <c r="BK157" i="2"/>
  <c r="Q66" i="5" s="1"/>
  <c r="BK185" i="2"/>
  <c r="BK177" i="2" s="1"/>
  <c r="Q24" i="5" l="1"/>
  <c r="BK151" i="2"/>
  <c r="BL155" i="2"/>
  <c r="BI15" i="2"/>
  <c r="BJ16" i="2"/>
  <c r="CB23" i="2"/>
  <c r="CB200" i="2"/>
  <c r="BK22" i="2"/>
  <c r="Q25" i="5"/>
  <c r="BI17" i="2"/>
  <c r="BJ51" i="2"/>
  <c r="BI14" i="2"/>
  <c r="CD202" i="2"/>
  <c r="CC201" i="2"/>
  <c r="BM186" i="2"/>
  <c r="BM155" i="2" s="1"/>
  <c r="BL157" i="2"/>
  <c r="BL185" i="2"/>
  <c r="BL177" i="2" s="1"/>
  <c r="BK53" i="2" l="1"/>
  <c r="Q65" i="5" s="1"/>
  <c r="Q64" i="5" s="1"/>
  <c r="BK50" i="2"/>
  <c r="BL151" i="2"/>
  <c r="BJ15" i="2"/>
  <c r="Q82" i="5"/>
  <c r="Q78" i="5" s="1"/>
  <c r="CC23" i="2"/>
  <c r="CC200" i="2"/>
  <c r="BK19" i="2"/>
  <c r="BK12" i="2" s="1"/>
  <c r="BL22" i="2"/>
  <c r="BJ13" i="2"/>
  <c r="BJ14" i="2" s="1"/>
  <c r="BK51" i="2"/>
  <c r="CE202" i="2"/>
  <c r="CD201" i="2"/>
  <c r="BN186" i="2"/>
  <c r="BN155" i="2" s="1"/>
  <c r="BM185" i="2"/>
  <c r="BM157" i="2"/>
  <c r="BM151" i="2" s="1"/>
  <c r="Q20" i="5"/>
  <c r="Q12" i="5" s="1"/>
  <c r="Q53" i="5" l="1"/>
  <c r="Q15" i="5" s="1"/>
  <c r="BM53" i="2"/>
  <c r="BM50" i="2"/>
  <c r="BL53" i="2"/>
  <c r="BL50" i="2"/>
  <c r="BM22" i="2"/>
  <c r="BM19" i="2" s="1"/>
  <c r="BM12" i="2" s="1"/>
  <c r="BM177" i="2"/>
  <c r="CD23" i="2"/>
  <c r="CD200" i="2"/>
  <c r="BL19" i="2"/>
  <c r="BL12" i="2" s="1"/>
  <c r="BK16" i="2"/>
  <c r="Q17" i="5"/>
  <c r="BJ17" i="2"/>
  <c r="BL51" i="2"/>
  <c r="CF202" i="2"/>
  <c r="CE201" i="2"/>
  <c r="BN185" i="2"/>
  <c r="BO186" i="2"/>
  <c r="BO155" i="2" s="1"/>
  <c r="BN157" i="2"/>
  <c r="BK15" i="2"/>
  <c r="BK13" i="2"/>
  <c r="BN151" i="2" l="1"/>
  <c r="CE23" i="2"/>
  <c r="CE200" i="2"/>
  <c r="BN22" i="2"/>
  <c r="BN19" i="2" s="1"/>
  <c r="BN12" i="2" s="1"/>
  <c r="BN177" i="2"/>
  <c r="BL16" i="2"/>
  <c r="BM16" i="2" s="1"/>
  <c r="BL13" i="2"/>
  <c r="CG202" i="2"/>
  <c r="CF201" i="2"/>
  <c r="BM13" i="2"/>
  <c r="BM51" i="2"/>
  <c r="BL15" i="2"/>
  <c r="BK14" i="2"/>
  <c r="Q13" i="5" s="1"/>
  <c r="BK17" i="2"/>
  <c r="BO185" i="2"/>
  <c r="BP186" i="2"/>
  <c r="BP155" i="2" s="1"/>
  <c r="BO157" i="2"/>
  <c r="BO151" i="2" s="1"/>
  <c r="BO53" i="2" l="1"/>
  <c r="BO50" i="2"/>
  <c r="BN53" i="2"/>
  <c r="BN50" i="2"/>
  <c r="BN13" i="2" s="1"/>
  <c r="Q14" i="5"/>
  <c r="Q18" i="5"/>
  <c r="Q16" i="5"/>
  <c r="BN16" i="2"/>
  <c r="BO22" i="2"/>
  <c r="BO19" i="2" s="1"/>
  <c r="BO12" i="2" s="1"/>
  <c r="BO177" i="2"/>
  <c r="CF23" i="2"/>
  <c r="CF200" i="2"/>
  <c r="BL17" i="2"/>
  <c r="BM17" i="2" s="1"/>
  <c r="BL14" i="2"/>
  <c r="BM14" i="2" s="1"/>
  <c r="BM15" i="2"/>
  <c r="BQ186" i="2"/>
  <c r="BQ155" i="2" s="1"/>
  <c r="BP185" i="2"/>
  <c r="BP157" i="2"/>
  <c r="BN51" i="2"/>
  <c r="CH202" i="2"/>
  <c r="CG201" i="2"/>
  <c r="BP151" i="2" l="1"/>
  <c r="BO51" i="2"/>
  <c r="CG23" i="2"/>
  <c r="CG200" i="2"/>
  <c r="BP22" i="2"/>
  <c r="BP19" i="2" s="1"/>
  <c r="BP12" i="2" s="1"/>
  <c r="BP177" i="2"/>
  <c r="BO16" i="2"/>
  <c r="BO13" i="2"/>
  <c r="BN17" i="2"/>
  <c r="CI202" i="2"/>
  <c r="T26" i="5" s="1"/>
  <c r="CH201" i="2"/>
  <c r="BN14" i="2"/>
  <c r="BR186" i="2"/>
  <c r="BR155" i="2" s="1"/>
  <c r="BQ185" i="2"/>
  <c r="BQ157" i="2"/>
  <c r="BQ151" i="2" s="1"/>
  <c r="BN15" i="2"/>
  <c r="BQ53" i="2" l="1"/>
  <c r="BQ50" i="2"/>
  <c r="BP53" i="2"/>
  <c r="BP50" i="2"/>
  <c r="BP13" i="2" s="1"/>
  <c r="BP51" i="2"/>
  <c r="BP16" i="2"/>
  <c r="BQ22" i="2"/>
  <c r="BQ19" i="2" s="1"/>
  <c r="BQ12" i="2" s="1"/>
  <c r="BQ177" i="2"/>
  <c r="CH23" i="2"/>
  <c r="CH200" i="2"/>
  <c r="BO15" i="2"/>
  <c r="BO14" i="2"/>
  <c r="BO17" i="2"/>
  <c r="CJ202" i="2"/>
  <c r="CI201" i="2"/>
  <c r="BR185" i="2"/>
  <c r="BR157" i="2"/>
  <c r="BS186" i="2"/>
  <c r="BS155" i="2" s="1"/>
  <c r="BR151" i="2" l="1"/>
  <c r="CI200" i="2"/>
  <c r="U26" i="5"/>
  <c r="BQ16" i="2"/>
  <c r="BR22" i="2"/>
  <c r="BR19" i="2" s="1"/>
  <c r="BR12" i="2" s="1"/>
  <c r="BR177" i="2"/>
  <c r="CI23" i="2"/>
  <c r="BP17" i="2"/>
  <c r="BP14" i="2"/>
  <c r="BP15" i="2"/>
  <c r="BQ51" i="2"/>
  <c r="BS185" i="2"/>
  <c r="BS157" i="2"/>
  <c r="BS151" i="2" s="1"/>
  <c r="BT186" i="2"/>
  <c r="BT155" i="2" s="1"/>
  <c r="CK202" i="2"/>
  <c r="CJ201" i="2"/>
  <c r="BS53" i="2" l="1"/>
  <c r="BS50" i="2"/>
  <c r="BR53" i="2"/>
  <c r="BR50" i="2"/>
  <c r="BR13" i="2" s="1"/>
  <c r="CJ200" i="2"/>
  <c r="BR16" i="2"/>
  <c r="BS22" i="2"/>
  <c r="BS19" i="2" s="1"/>
  <c r="BS12" i="2" s="1"/>
  <c r="BS177" i="2"/>
  <c r="CJ23" i="2"/>
  <c r="CL202" i="2"/>
  <c r="CK201" i="2"/>
  <c r="BR51" i="2"/>
  <c r="BQ15" i="2"/>
  <c r="BQ13" i="2"/>
  <c r="BU186" i="2"/>
  <c r="BU155" i="2" s="1"/>
  <c r="BT185" i="2"/>
  <c r="BT157" i="2"/>
  <c r="BT151" i="2" s="1"/>
  <c r="BT53" i="2" l="1"/>
  <c r="BT50" i="2"/>
  <c r="BS51" i="2"/>
  <c r="BS16" i="2"/>
  <c r="CK23" i="2"/>
  <c r="CK200" i="2"/>
  <c r="BT22" i="2"/>
  <c r="BT19" i="2" s="1"/>
  <c r="BT12" i="2" s="1"/>
  <c r="BT177" i="2"/>
  <c r="BS13" i="2"/>
  <c r="CM202" i="2"/>
  <c r="CL201" i="2"/>
  <c r="BR15" i="2"/>
  <c r="BV186" i="2"/>
  <c r="BV155" i="2" s="1"/>
  <c r="BU185" i="2"/>
  <c r="BU157" i="2"/>
  <c r="BU151" i="2" s="1"/>
  <c r="BQ14" i="2"/>
  <c r="BR14" i="2" s="1"/>
  <c r="BQ17" i="2"/>
  <c r="BR17" i="2" s="1"/>
  <c r="BU53" i="2" l="1"/>
  <c r="BU50" i="2"/>
  <c r="BT16" i="2"/>
  <c r="BU22" i="2"/>
  <c r="BU19" i="2" s="1"/>
  <c r="BU12" i="2" s="1"/>
  <c r="BU177" i="2"/>
  <c r="CL23" i="2"/>
  <c r="CL200" i="2"/>
  <c r="BS15" i="2"/>
  <c r="BS17" i="2"/>
  <c r="BS14" i="2"/>
  <c r="BV185" i="2"/>
  <c r="BW186" i="2"/>
  <c r="BV157" i="2"/>
  <c r="BV151" i="2" s="1"/>
  <c r="CN202" i="2"/>
  <c r="CM201" i="2"/>
  <c r="BT51" i="2"/>
  <c r="BT13" i="2"/>
  <c r="BV53" i="2" l="1"/>
  <c r="BV50" i="2"/>
  <c r="R25" i="5"/>
  <c r="BW155" i="2"/>
  <c r="S67" i="5" s="1"/>
  <c r="BU16" i="2"/>
  <c r="CM23" i="2"/>
  <c r="CM200" i="2"/>
  <c r="BV22" i="2"/>
  <c r="BV19" i="2" s="1"/>
  <c r="BV12" i="2" s="1"/>
  <c r="BV177" i="2"/>
  <c r="BU13" i="2"/>
  <c r="BU51" i="2"/>
  <c r="BT17" i="2"/>
  <c r="BT14" i="2"/>
  <c r="BT15" i="2"/>
  <c r="CO202" i="2"/>
  <c r="CN201" i="2"/>
  <c r="BW185" i="2"/>
  <c r="BW177" i="2" s="1"/>
  <c r="S24" i="5" s="1"/>
  <c r="BX186" i="2"/>
  <c r="BW157" i="2"/>
  <c r="S66" i="5" s="1"/>
  <c r="BW151" i="2" l="1"/>
  <c r="BX155" i="2"/>
  <c r="BV13" i="2"/>
  <c r="BV16" i="2"/>
  <c r="CN23" i="2"/>
  <c r="CN200" i="2"/>
  <c r="BW22" i="2"/>
  <c r="S25" i="5"/>
  <c r="BU14" i="2"/>
  <c r="BU17" i="2"/>
  <c r="BV51" i="2"/>
  <c r="BU15" i="2"/>
  <c r="CP202" i="2"/>
  <c r="CO201" i="2"/>
  <c r="BY186" i="2"/>
  <c r="BY155" i="2" s="1"/>
  <c r="BX185" i="2"/>
  <c r="BX177" i="2" s="1"/>
  <c r="BX157" i="2"/>
  <c r="BW53" i="2" l="1"/>
  <c r="S65" i="5" s="1"/>
  <c r="S64" i="5" s="1"/>
  <c r="BW50" i="2"/>
  <c r="BV15" i="2"/>
  <c r="BX151" i="2"/>
  <c r="S82" i="5"/>
  <c r="S78" i="5" s="1"/>
  <c r="BV14" i="2"/>
  <c r="BV17" i="2"/>
  <c r="CO23" i="2"/>
  <c r="CO200" i="2"/>
  <c r="BW19" i="2"/>
  <c r="BW12" i="2" s="1"/>
  <c r="BX22" i="2"/>
  <c r="BZ186" i="2"/>
  <c r="BY185" i="2"/>
  <c r="BY157" i="2"/>
  <c r="BY151" i="2" s="1"/>
  <c r="BW51" i="2"/>
  <c r="CQ202" i="2"/>
  <c r="CP201" i="2"/>
  <c r="S20" i="5"/>
  <c r="S12" i="5" s="1"/>
  <c r="S53" i="5" l="1"/>
  <c r="S15" i="5" s="1"/>
  <c r="BY53" i="2"/>
  <c r="BY50" i="2"/>
  <c r="BX53" i="2"/>
  <c r="BX50" i="2"/>
  <c r="BZ155" i="2"/>
  <c r="BX51" i="2"/>
  <c r="BY22" i="2"/>
  <c r="BY19" i="2" s="1"/>
  <c r="BY12" i="2" s="1"/>
  <c r="BY177" i="2"/>
  <c r="CP23" i="2"/>
  <c r="CP200" i="2"/>
  <c r="BX19" i="2"/>
  <c r="BX12" i="2" s="1"/>
  <c r="BW13" i="2"/>
  <c r="BW17" i="2" s="1"/>
  <c r="BW16" i="2"/>
  <c r="S17" i="5"/>
  <c r="BW15" i="2"/>
  <c r="CR202" i="2"/>
  <c r="CQ201" i="2"/>
  <c r="BZ185" i="2"/>
  <c r="CA186" i="2"/>
  <c r="CA155" i="2" s="1"/>
  <c r="BZ157" i="2"/>
  <c r="BZ151" i="2" l="1"/>
  <c r="BY51" i="2"/>
  <c r="BZ22" i="2"/>
  <c r="BZ19" i="2" s="1"/>
  <c r="BZ12" i="2" s="1"/>
  <c r="BZ177" i="2"/>
  <c r="CQ23" i="2"/>
  <c r="CQ200" i="2"/>
  <c r="BW14" i="2"/>
  <c r="S13" i="5" s="1"/>
  <c r="S14" i="5" s="1"/>
  <c r="BX13" i="2"/>
  <c r="BX16" i="2"/>
  <c r="BY16" i="2" s="1"/>
  <c r="BX15" i="2"/>
  <c r="CS202" i="2"/>
  <c r="CR201" i="2"/>
  <c r="CB186" i="2"/>
  <c r="CB155" i="2" s="1"/>
  <c r="CA157" i="2"/>
  <c r="CA151" i="2" s="1"/>
  <c r="CA185" i="2"/>
  <c r="CA53" i="2" l="1"/>
  <c r="CA50" i="2"/>
  <c r="BZ53" i="2"/>
  <c r="BZ50" i="2"/>
  <c r="BZ13" i="2" s="1"/>
  <c r="S18" i="5"/>
  <c r="S16" i="5"/>
  <c r="BZ16" i="2"/>
  <c r="CR23" i="2"/>
  <c r="CR200" i="2"/>
  <c r="CA22" i="2"/>
  <c r="CA19" i="2" s="1"/>
  <c r="CA12" i="2" s="1"/>
  <c r="CA177" i="2"/>
  <c r="BX14" i="2"/>
  <c r="BX17" i="2"/>
  <c r="BY15" i="2"/>
  <c r="BY13" i="2"/>
  <c r="BZ51" i="2"/>
  <c r="CT202" i="2"/>
  <c r="CS201" i="2"/>
  <c r="CC186" i="2"/>
  <c r="CC155" i="2" s="1"/>
  <c r="CB157" i="2"/>
  <c r="CB151" i="2" s="1"/>
  <c r="CB185" i="2"/>
  <c r="CB53" i="2" l="1"/>
  <c r="CB50" i="2"/>
  <c r="CA16" i="2"/>
  <c r="CS23" i="2"/>
  <c r="CS200" i="2"/>
  <c r="CB22" i="2"/>
  <c r="CB19" i="2" s="1"/>
  <c r="CB12" i="2" s="1"/>
  <c r="CB177" i="2"/>
  <c r="BY17" i="2"/>
  <c r="BZ17" i="2" s="1"/>
  <c r="BY14" i="2"/>
  <c r="BZ14" i="2" s="1"/>
  <c r="CA51" i="2"/>
  <c r="BZ15" i="2"/>
  <c r="CU202" i="2"/>
  <c r="CT201" i="2"/>
  <c r="CD186" i="2"/>
  <c r="CD155" i="2" s="1"/>
  <c r="CC185" i="2"/>
  <c r="CC157" i="2"/>
  <c r="CC151" i="2" s="1"/>
  <c r="CC53" i="2" l="1"/>
  <c r="CC50" i="2"/>
  <c r="CB51" i="2"/>
  <c r="CB16" i="2"/>
  <c r="CC22" i="2"/>
  <c r="CC19" i="2" s="1"/>
  <c r="CC12" i="2" s="1"/>
  <c r="CC177" i="2"/>
  <c r="CT23" i="2"/>
  <c r="CT200" i="2"/>
  <c r="CA13" i="2"/>
  <c r="CA17" i="2" s="1"/>
  <c r="CU201" i="2"/>
  <c r="V26" i="5"/>
  <c r="CA15" i="2"/>
  <c r="CB13" i="2"/>
  <c r="CD185" i="2"/>
  <c r="CE186" i="2"/>
  <c r="CE155" i="2" s="1"/>
  <c r="CD157" i="2"/>
  <c r="CD151" i="2" s="1"/>
  <c r="CD53" i="2" l="1"/>
  <c r="CD50" i="2"/>
  <c r="CU200" i="2"/>
  <c r="W26" i="5"/>
  <c r="CC16" i="2"/>
  <c r="CD22" i="2"/>
  <c r="CD19" i="2" s="1"/>
  <c r="CD12" i="2" s="1"/>
  <c r="CD177" i="2"/>
  <c r="CA14" i="2"/>
  <c r="CB14" i="2" s="1"/>
  <c r="CU23" i="2"/>
  <c r="CB17" i="2"/>
  <c r="CB15" i="2"/>
  <c r="CE185" i="2"/>
  <c r="CF186" i="2"/>
  <c r="CF155" i="2" s="1"/>
  <c r="CE157" i="2"/>
  <c r="CE151" i="2" s="1"/>
  <c r="CC51" i="2"/>
  <c r="CC13" i="2"/>
  <c r="CE53" i="2" l="1"/>
  <c r="CE50" i="2"/>
  <c r="CD51" i="2"/>
  <c r="CD16" i="2"/>
  <c r="CE22" i="2"/>
  <c r="CE19" i="2" s="1"/>
  <c r="CE12" i="2" s="1"/>
  <c r="CE177" i="2"/>
  <c r="CC14" i="2"/>
  <c r="CD13" i="2"/>
  <c r="CC17" i="2"/>
  <c r="CG186" i="2"/>
  <c r="CG155" i="2" s="1"/>
  <c r="CF185" i="2"/>
  <c r="CF157" i="2"/>
  <c r="CF151" i="2" s="1"/>
  <c r="CC15" i="2"/>
  <c r="CF53" i="2" l="1"/>
  <c r="CF50" i="2"/>
  <c r="CE51" i="2"/>
  <c r="CE16" i="2"/>
  <c r="CF22" i="2"/>
  <c r="CF19" i="2" s="1"/>
  <c r="CF12" i="2" s="1"/>
  <c r="CF177" i="2"/>
  <c r="CD14" i="2"/>
  <c r="CD15" i="2"/>
  <c r="CD17" i="2"/>
  <c r="CE13" i="2"/>
  <c r="CH186" i="2"/>
  <c r="CH155" i="2" s="1"/>
  <c r="CG185" i="2"/>
  <c r="CG157" i="2"/>
  <c r="CG151" i="2" s="1"/>
  <c r="CG53" i="2" l="1"/>
  <c r="CG50" i="2"/>
  <c r="CF16" i="2"/>
  <c r="CG22" i="2"/>
  <c r="CG19" i="2" s="1"/>
  <c r="CG12" i="2" s="1"/>
  <c r="CG177" i="2"/>
  <c r="CE14" i="2"/>
  <c r="CE15" i="2"/>
  <c r="CE17" i="2"/>
  <c r="CF13" i="2"/>
  <c r="CF51" i="2"/>
  <c r="CH185" i="2"/>
  <c r="CI186" i="2"/>
  <c r="CH157" i="2"/>
  <c r="CH151" i="2" s="1"/>
  <c r="CH53" i="2" l="1"/>
  <c r="CH50" i="2"/>
  <c r="CG51" i="2"/>
  <c r="T25" i="5"/>
  <c r="CI155" i="2"/>
  <c r="U67" i="5" s="1"/>
  <c r="CG16" i="2"/>
  <c r="CH22" i="2"/>
  <c r="CH19" i="2" s="1"/>
  <c r="CH12" i="2" s="1"/>
  <c r="CH177" i="2"/>
  <c r="CF17" i="2"/>
  <c r="CF15" i="2"/>
  <c r="CF14" i="2"/>
  <c r="CG13" i="2"/>
  <c r="CJ186" i="2"/>
  <c r="CI157" i="2"/>
  <c r="U66" i="5" s="1"/>
  <c r="CI185" i="2"/>
  <c r="CI177" i="2" s="1"/>
  <c r="U24" i="5" s="1"/>
  <c r="CI151" i="2" l="1"/>
  <c r="CJ155" i="2"/>
  <c r="CH16" i="2"/>
  <c r="CI22" i="2"/>
  <c r="U25" i="5"/>
  <c r="CG14" i="2"/>
  <c r="CG17" i="2"/>
  <c r="CG15" i="2"/>
  <c r="CK186" i="2"/>
  <c r="CK155" i="2" s="1"/>
  <c r="CJ157" i="2"/>
  <c r="CJ185" i="2"/>
  <c r="CJ177" i="2" s="1"/>
  <c r="CH51" i="2"/>
  <c r="CH13" i="2"/>
  <c r="CI53" i="2" l="1"/>
  <c r="U65" i="5" s="1"/>
  <c r="U64" i="5" s="1"/>
  <c r="CI50" i="2"/>
  <c r="CJ151" i="2"/>
  <c r="CI51" i="2"/>
  <c r="U82" i="5"/>
  <c r="U78" i="5" s="1"/>
  <c r="CI19" i="2"/>
  <c r="CI12" i="2" s="1"/>
  <c r="CH14" i="2"/>
  <c r="CJ22" i="2"/>
  <c r="CH15" i="2"/>
  <c r="CH17" i="2"/>
  <c r="CL186" i="2"/>
  <c r="CL155" i="2" s="1"/>
  <c r="CK185" i="2"/>
  <c r="CK157" i="2"/>
  <c r="CK151" i="2" s="1"/>
  <c r="U20" i="5"/>
  <c r="U12" i="5" s="1"/>
  <c r="U53" i="5" l="1"/>
  <c r="U15" i="5" s="1"/>
  <c r="CK53" i="2"/>
  <c r="CK50" i="2"/>
  <c r="CJ53" i="2"/>
  <c r="CJ50" i="2"/>
  <c r="CK22" i="2"/>
  <c r="CK19" i="2" s="1"/>
  <c r="CK12" i="2" s="1"/>
  <c r="CK177" i="2"/>
  <c r="CI13" i="2"/>
  <c r="CJ19" i="2"/>
  <c r="CJ12" i="2" s="1"/>
  <c r="CI16" i="2"/>
  <c r="U17" i="5"/>
  <c r="CI15" i="2"/>
  <c r="CJ51" i="2"/>
  <c r="CL185" i="2"/>
  <c r="CM186" i="2"/>
  <c r="CM155" i="2" s="1"/>
  <c r="CL157" i="2"/>
  <c r="CL151" i="2" s="1"/>
  <c r="CL53" i="2" l="1"/>
  <c r="CL50" i="2"/>
  <c r="CK51" i="2"/>
  <c r="CL22" i="2"/>
  <c r="CL19" i="2" s="1"/>
  <c r="CL12" i="2" s="1"/>
  <c r="CL177" i="2"/>
  <c r="CI14" i="2"/>
  <c r="U16" i="5" s="1"/>
  <c r="CJ13" i="2"/>
  <c r="CJ16" i="2"/>
  <c r="CK16" i="2" s="1"/>
  <c r="CI17" i="2"/>
  <c r="CK13" i="2"/>
  <c r="CJ15" i="2"/>
  <c r="CM185" i="2"/>
  <c r="CN186" i="2"/>
  <c r="CN155" i="2" s="1"/>
  <c r="CM157" i="2"/>
  <c r="CM151" i="2" s="1"/>
  <c r="CM53" i="2" l="1"/>
  <c r="CM50" i="2"/>
  <c r="U13" i="5"/>
  <c r="U18" i="5" s="1"/>
  <c r="CL16" i="2"/>
  <c r="CM22" i="2"/>
  <c r="CM19" i="2" s="1"/>
  <c r="CM12" i="2" s="1"/>
  <c r="CM177" i="2"/>
  <c r="CJ17" i="2"/>
  <c r="CK17" i="2" s="1"/>
  <c r="CJ14" i="2"/>
  <c r="CK14" i="2" s="1"/>
  <c r="CL13" i="2"/>
  <c r="CK15" i="2"/>
  <c r="CL51" i="2"/>
  <c r="CO186" i="2"/>
  <c r="CO155" i="2" s="1"/>
  <c r="CN185" i="2"/>
  <c r="CN157" i="2"/>
  <c r="CN151" i="2" l="1"/>
  <c r="U14" i="5"/>
  <c r="CM16" i="2"/>
  <c r="CN22" i="2"/>
  <c r="CN19" i="2" s="1"/>
  <c r="CN12" i="2" s="1"/>
  <c r="CN177" i="2"/>
  <c r="CL14" i="2"/>
  <c r="CL15" i="2"/>
  <c r="CL17" i="2"/>
  <c r="CM51" i="2"/>
  <c r="CP186" i="2"/>
  <c r="CP155" i="2" s="1"/>
  <c r="CO185" i="2"/>
  <c r="CO157" i="2"/>
  <c r="CO151" i="2" s="1"/>
  <c r="CO53" i="2" l="1"/>
  <c r="CO50" i="2"/>
  <c r="CN53" i="2"/>
  <c r="CN50" i="2"/>
  <c r="CN16" i="2"/>
  <c r="CO22" i="2"/>
  <c r="CO19" i="2" s="1"/>
  <c r="CO12" i="2" s="1"/>
  <c r="CO177" i="2"/>
  <c r="CN51" i="2"/>
  <c r="CM15" i="2"/>
  <c r="CM13" i="2"/>
  <c r="CP185" i="2"/>
  <c r="CQ186" i="2"/>
  <c r="CQ155" i="2" s="1"/>
  <c r="CP157" i="2"/>
  <c r="CP151" i="2" s="1"/>
  <c r="CP53" i="2" l="1"/>
  <c r="CP50" i="2"/>
  <c r="CO16" i="2"/>
  <c r="CP22" i="2"/>
  <c r="CP19" i="2" s="1"/>
  <c r="CP12" i="2" s="1"/>
  <c r="CP177" i="2"/>
  <c r="CN13" i="2"/>
  <c r="CN15" i="2"/>
  <c r="CQ185" i="2"/>
  <c r="CQ157" i="2"/>
  <c r="CQ151" i="2" s="1"/>
  <c r="CR186" i="2"/>
  <c r="CR155" i="2" s="1"/>
  <c r="CO51" i="2"/>
  <c r="CO13" i="2"/>
  <c r="CM14" i="2"/>
  <c r="CM17" i="2"/>
  <c r="CQ53" i="2" l="1"/>
  <c r="CQ50" i="2"/>
  <c r="CP16" i="2"/>
  <c r="CQ22" i="2"/>
  <c r="CQ19" i="2" s="1"/>
  <c r="CQ12" i="2" s="1"/>
  <c r="CQ177" i="2"/>
  <c r="CN17" i="2"/>
  <c r="CO17" i="2" s="1"/>
  <c r="CN14" i="2"/>
  <c r="CO14" i="2" s="1"/>
  <c r="CP13" i="2"/>
  <c r="CP51" i="2"/>
  <c r="CO15" i="2"/>
  <c r="CS186" i="2"/>
  <c r="CS155" i="2" s="1"/>
  <c r="CR185" i="2"/>
  <c r="CR157" i="2"/>
  <c r="CR151" i="2" s="1"/>
  <c r="CR53" i="2" l="1"/>
  <c r="CR50" i="2"/>
  <c r="CQ13" i="2"/>
  <c r="CQ16" i="2"/>
  <c r="CR22" i="2"/>
  <c r="CR19" i="2" s="1"/>
  <c r="CR12" i="2" s="1"/>
  <c r="CR177" i="2"/>
  <c r="CP14" i="2"/>
  <c r="CP15" i="2"/>
  <c r="CP17" i="2"/>
  <c r="CQ51" i="2"/>
  <c r="CT186" i="2"/>
  <c r="CT155" i="2" s="1"/>
  <c r="CS185" i="2"/>
  <c r="CS157" i="2"/>
  <c r="CS151" i="2" s="1"/>
  <c r="CS53" i="2" l="1"/>
  <c r="CS50" i="2"/>
  <c r="CQ15" i="2"/>
  <c r="CR51" i="2"/>
  <c r="CQ17" i="2"/>
  <c r="CQ14" i="2"/>
  <c r="CR16" i="2"/>
  <c r="CS22" i="2"/>
  <c r="CS19" i="2" s="1"/>
  <c r="CS12" i="2" s="1"/>
  <c r="CS177" i="2"/>
  <c r="CR13" i="2"/>
  <c r="CT185" i="2"/>
  <c r="CU186" i="2"/>
  <c r="CT157" i="2"/>
  <c r="CT151" i="2" s="1"/>
  <c r="CT53" i="2" l="1"/>
  <c r="CT50" i="2"/>
  <c r="V25" i="5"/>
  <c r="CU155" i="2"/>
  <c r="W67" i="5" s="1"/>
  <c r="CR14" i="2"/>
  <c r="CS16" i="2"/>
  <c r="CT22" i="2"/>
  <c r="CT19" i="2" s="1"/>
  <c r="CT12" i="2" s="1"/>
  <c r="CT177" i="2"/>
  <c r="CR15" i="2"/>
  <c r="CR17" i="2"/>
  <c r="CS51" i="2"/>
  <c r="CU185" i="2"/>
  <c r="CU177" i="2" s="1"/>
  <c r="CU157" i="2"/>
  <c r="W66" i="5" s="1"/>
  <c r="W24" i="5" l="1"/>
  <c r="CU151" i="2"/>
  <c r="CT13" i="2"/>
  <c r="CT16" i="2"/>
  <c r="CU22" i="2"/>
  <c r="W25" i="5"/>
  <c r="CT51" i="2"/>
  <c r="CS13" i="2"/>
  <c r="CS15" i="2"/>
  <c r="CU53" i="2" l="1"/>
  <c r="W65" i="5" s="1"/>
  <c r="W64" i="5" s="1"/>
  <c r="CU50" i="2"/>
  <c r="CT15" i="2"/>
  <c r="W82" i="5"/>
  <c r="W78" i="5" s="1"/>
  <c r="CU19" i="2"/>
  <c r="CU12" i="2" s="1"/>
  <c r="CS14" i="2"/>
  <c r="CT14" i="2" s="1"/>
  <c r="CS17" i="2"/>
  <c r="CT17" i="2" s="1"/>
  <c r="CU51" i="2"/>
  <c r="W20" i="5"/>
  <c r="W12" i="5" s="1"/>
  <c r="W53" i="5" l="1"/>
  <c r="CU16" i="2"/>
  <c r="W17" i="5"/>
  <c r="CU15" i="2"/>
  <c r="CU13" i="2"/>
  <c r="W13" i="5" l="1"/>
  <c r="W15" i="5"/>
  <c r="CU17" i="2"/>
  <c r="CU14" i="2"/>
  <c r="W18" i="5" l="1"/>
  <c r="W16" i="5"/>
  <c r="W14" i="5" l="1"/>
</calcChain>
</file>

<file path=xl/comments1.xml><?xml version="1.0" encoding="utf-8"?>
<comments xmlns="http://schemas.openxmlformats.org/spreadsheetml/2006/main">
  <authors>
    <author/>
  </authors>
  <commentList>
    <comment ref="D8" authorId="0" shapeId="0">
      <text>
        <r>
          <rPr>
            <sz val="10"/>
            <color rgb="FF000000"/>
            <rFont val="Calibri"/>
            <family val="2"/>
            <scheme val="minor"/>
          </rPr>
          <t>======
ID#AAAA9Dd-3x8
tc={9892D764-59B9-4E65-A819-575FA3AE5C4F}    (2023-10-29 15:28:17)
[Threaded comment]
Your version of Excel allows you to read this threaded comment; however, any edits to it will get removed if the file is opened in a newer version of Excel. Learn more: https://go.microsoft.com/fwlink/?linkid=870924
Comment:
    Alberto</t>
        </r>
      </text>
    </comment>
    <comment ref="D9" authorId="0" shapeId="0">
      <text>
        <r>
          <rPr>
            <sz val="10"/>
            <color rgb="FF000000"/>
            <rFont val="Calibri"/>
            <family val="2"/>
            <scheme val="minor"/>
          </rPr>
          <t>======
ID#AAAA9Dd-3x0
tc={D14F1AB8-0A57-476F-B56A-D8E2D4FA54BB}    (2023-10-29 15:28:17)
[Threaded comment]
Your version of Excel allows you to read this threaded comment; however, any edits to it will get removed if the file is opened in a newer version of Excel. Learn more: https://go.microsoft.com/fwlink/?linkid=870924
Comment:
    Amaru</t>
        </r>
      </text>
    </comment>
  </commentList>
</comments>
</file>

<file path=xl/sharedStrings.xml><?xml version="1.0" encoding="utf-8"?>
<sst xmlns="http://schemas.openxmlformats.org/spreadsheetml/2006/main" count="599" uniqueCount="422">
  <si>
    <t>PLAYBOOK -General</t>
  </si>
  <si>
    <t>Business Plan - Year 1-3</t>
  </si>
  <si>
    <t>Values in € EUR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</si>
  <si>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</si>
  <si>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</si>
  <si>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</si>
  <si>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</si>
  <si>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</si>
  <si>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</si>
  <si>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</si>
  <si>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</si>
  <si>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Months</t>
  </si>
  <si>
    <t>Summary</t>
  </si>
  <si>
    <t>Gross Revenue</t>
  </si>
  <si>
    <t>Gross Profit (Net Revenue)</t>
  </si>
  <si>
    <t>ROI</t>
  </si>
  <si>
    <t>Accumulated Business Cost</t>
  </si>
  <si>
    <t>Accumulated Revenue</t>
  </si>
  <si>
    <t>Accumulated Profit</t>
  </si>
  <si>
    <t>Income by Business Line</t>
  </si>
  <si>
    <t>Frass</t>
  </si>
  <si>
    <t xml:space="preserve">Biorreactor </t>
  </si>
  <si>
    <t>Biorreactor subscription</t>
  </si>
  <si>
    <t>Waste Management</t>
  </si>
  <si>
    <t>Head Count</t>
  </si>
  <si>
    <t>CEO</t>
  </si>
  <si>
    <t>COO</t>
  </si>
  <si>
    <t>Mechanical/Piping Engineer</t>
  </si>
  <si>
    <t>Electrical/Control/Instrumentation Engineer</t>
  </si>
  <si>
    <t>Entomologist</t>
  </si>
  <si>
    <t>Accounting</t>
  </si>
  <si>
    <t>Operator</t>
  </si>
  <si>
    <t>Salesperson (frass)</t>
  </si>
  <si>
    <t>Technician</t>
  </si>
  <si>
    <t>Operator 2</t>
  </si>
  <si>
    <t>Operator 3</t>
  </si>
  <si>
    <t>Operator 4</t>
  </si>
  <si>
    <t>Operator 5</t>
  </si>
  <si>
    <t>Operator 6</t>
  </si>
  <si>
    <t>Operator 7</t>
  </si>
  <si>
    <t>Logistics Manager</t>
  </si>
  <si>
    <t>CFO</t>
  </si>
  <si>
    <t>CTO</t>
  </si>
  <si>
    <t>Business Cost (OPEX + Cost of goods)</t>
  </si>
  <si>
    <t>OPEX</t>
  </si>
  <si>
    <t>BIORREACTOR PRODUCTION</t>
  </si>
  <si>
    <t>Rent</t>
  </si>
  <si>
    <t>Conditioning</t>
  </si>
  <si>
    <t>Services (Internet, Security)</t>
  </si>
  <si>
    <t>Electricity &amp; water</t>
  </si>
  <si>
    <t>Cleaning</t>
  </si>
  <si>
    <t>Maintenance</t>
  </si>
  <si>
    <t>Van / truck</t>
  </si>
  <si>
    <t>Insurance</t>
  </si>
  <si>
    <t>Training</t>
  </si>
  <si>
    <t>Head Count Cost</t>
  </si>
  <si>
    <t>Chief Entomologist</t>
  </si>
  <si>
    <t>Laboratory &amp; Warehouse &amp; Office</t>
  </si>
  <si>
    <t>Consumables &amp; furniture</t>
  </si>
  <si>
    <t>General Equipment</t>
  </si>
  <si>
    <t>Mill</t>
  </si>
  <si>
    <t>Rotary oven</t>
  </si>
  <si>
    <t>Internal crate transport (forklift)</t>
  </si>
  <si>
    <t>Control software</t>
  </si>
  <si>
    <t>Cloud Service</t>
  </si>
  <si>
    <t>Crate Washer</t>
  </si>
  <si>
    <t>Cost Nursery</t>
  </si>
  <si>
    <t>Mixer</t>
  </si>
  <si>
    <t>Vibrating sieve</t>
  </si>
  <si>
    <t>Feedstock transport</t>
  </si>
  <si>
    <t>Frass mixer</t>
  </si>
  <si>
    <t>Additional equipment for scaling</t>
  </si>
  <si>
    <t>Biorreactor 1.0</t>
  </si>
  <si>
    <t>Internal transport conveyors</t>
  </si>
  <si>
    <t>Piping</t>
  </si>
  <si>
    <t>Larvae washing</t>
  </si>
  <si>
    <t>Storage Vessel</t>
  </si>
  <si>
    <t>Pump (2 - 1 working, 1 spare)</t>
  </si>
  <si>
    <t>Crates</t>
  </si>
  <si>
    <t>Instrumentation</t>
  </si>
  <si>
    <t>Container</t>
  </si>
  <si>
    <t>Cost Container Package</t>
  </si>
  <si>
    <t>Contractors &amp; Indirect Costs</t>
  </si>
  <si>
    <t>Consulting</t>
  </si>
  <si>
    <t>Engineering</t>
  </si>
  <si>
    <t>Permits</t>
  </si>
  <si>
    <t>Local taxes</t>
  </si>
  <si>
    <t>Transport logistics (van)</t>
  </si>
  <si>
    <t>AI- software</t>
  </si>
  <si>
    <t>Operating Cost</t>
  </si>
  <si>
    <t>Sales &amp; Marketing</t>
  </si>
  <si>
    <t>Packaging</t>
  </si>
  <si>
    <t>Neonates</t>
  </si>
  <si>
    <t xml:space="preserve"> </t>
  </si>
  <si>
    <t>Chicken feed</t>
  </si>
  <si>
    <t>Others</t>
  </si>
  <si>
    <t>Waste disposal</t>
  </si>
  <si>
    <t>Operating cost nursery</t>
  </si>
  <si>
    <t>Commercial costs (client visits, trips)</t>
  </si>
  <si>
    <t>Frass Revenue</t>
  </si>
  <si>
    <t>Price per order</t>
  </si>
  <si>
    <t>Frass B2B (kg)</t>
  </si>
  <si>
    <t>Frass B2B %</t>
  </si>
  <si>
    <t>BIO-REACTOR 2.0 Revenue</t>
  </si>
  <si>
    <t>Revenue Container</t>
  </si>
  <si>
    <t>Orders (Tier 1)</t>
  </si>
  <si>
    <t>Orders (Tier 2)</t>
  </si>
  <si>
    <t>Orders (Tier 3)</t>
  </si>
  <si>
    <t>Revenue Subscriptions</t>
  </si>
  <si>
    <t>No. BASIC subscriptions (Tier 1)</t>
  </si>
  <si>
    <t>Price per subscription</t>
  </si>
  <si>
    <t>No. BASIC subscriptions (Tier 2)</t>
  </si>
  <si>
    <t>No. BASIC subscriptions (Tier 3)</t>
  </si>
  <si>
    <t>No. PREMIUM subscriptions (Tier 1)</t>
  </si>
  <si>
    <t>No. PREMIUM subscriptions (Tier 2)</t>
  </si>
  <si>
    <t>No. PREMIUM subscriptions (Tier 3)</t>
  </si>
  <si>
    <t>Waste Management Revenue</t>
  </si>
  <si>
    <t>Revenue</t>
  </si>
  <si>
    <t>No. subscriptions</t>
  </si>
  <si>
    <t>Business Plan - Year 1-8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</si>
  <si>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</si>
  <si>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</si>
  <si>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</si>
  <si>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</si>
  <si>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</si>
  <si>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</si>
  <si>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</si>
  <si>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</si>
  <si>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#</t>
  </si>
  <si>
    <t>€</t>
  </si>
  <si>
    <t>New</t>
  </si>
  <si>
    <t>Packing</t>
  </si>
  <si>
    <t>Marketing</t>
  </si>
  <si>
    <t>Headcount Costs Assumptions</t>
  </si>
  <si>
    <r>
      <rPr>
        <b/>
        <sz val="9"/>
        <color theme="1"/>
        <rFont val="Arial"/>
        <family val="2"/>
      </rPr>
      <t xml:space="preserve">Annual cost by position </t>
    </r>
    <r>
      <rPr>
        <sz val="9"/>
        <color theme="1"/>
        <rFont val="Arial"/>
        <family val="2"/>
      </rPr>
      <t>(gross salary + bonus)</t>
    </r>
  </si>
  <si>
    <t>netto to gross</t>
  </si>
  <si>
    <t>Dato padre Alberto</t>
  </si>
  <si>
    <t>Department</t>
  </si>
  <si>
    <t>Position</t>
  </si>
  <si>
    <t>Name in Business Plan</t>
  </si>
  <si>
    <t>Monthly Cost</t>
  </si>
  <si>
    <t>Perfil</t>
  </si>
  <si>
    <t>Comienzo de la actividad</t>
  </si>
  <si>
    <t>Actividades relacionadas con NEOTEC</t>
  </si>
  <si>
    <t>Total coste soportado por Neotec</t>
  </si>
  <si>
    <t>Ingeniero Mecanico</t>
  </si>
  <si>
    <t>Ingeniero Procesos/Proyectos</t>
  </si>
  <si>
    <t>Entomologo Aplicado (Dr.)</t>
  </si>
  <si>
    <t xml:space="preserve">TIE-IN LIST
</t>
  </si>
  <si>
    <t>,</t>
  </si>
  <si>
    <t>Title</t>
  </si>
  <si>
    <t>0</t>
  </si>
  <si>
    <t>Document No.</t>
  </si>
  <si>
    <t>REV.</t>
  </si>
  <si>
    <t>DATE</t>
  </si>
  <si>
    <t>DESCRIPTION</t>
  </si>
  <si>
    <t>PREP'D</t>
  </si>
  <si>
    <t>CHECK</t>
  </si>
  <si>
    <t>APP'D</t>
  </si>
  <si>
    <t>8Circular</t>
  </si>
  <si>
    <t>Business Model
FRONT SHEET</t>
  </si>
  <si>
    <t>For Information</t>
  </si>
  <si>
    <t>GAM</t>
  </si>
  <si>
    <t>AGG</t>
  </si>
  <si>
    <t>24-03-2024</t>
  </si>
  <si>
    <t>Y1</t>
  </si>
  <si>
    <t>Y2</t>
  </si>
  <si>
    <t>Y3</t>
  </si>
  <si>
    <t>Y4</t>
  </si>
  <si>
    <t>Y5</t>
  </si>
  <si>
    <t>Y6</t>
  </si>
  <si>
    <t>Y7</t>
  </si>
  <si>
    <t>Y8</t>
  </si>
  <si>
    <t>Tier 1</t>
  </si>
  <si>
    <t>Tier 2</t>
  </si>
  <si>
    <t>Tier 3</t>
  </si>
  <si>
    <t>B2B</t>
  </si>
  <si>
    <t>Business Model &amp; Business Plan</t>
  </si>
  <si>
    <t>Bio-reactor (New per year)</t>
  </si>
  <si>
    <t>Subscription Bio-reactor (TOTAL/yr)</t>
  </si>
  <si>
    <t>Gestion de Residuos (TOTAL/yr)</t>
  </si>
  <si>
    <t>Frass total</t>
  </si>
  <si>
    <t xml:space="preserve">        Frass Retail (kg)</t>
  </si>
  <si>
    <t xml:space="preserve">        Frass B2B (kg)</t>
  </si>
  <si>
    <t>Business Cost per year</t>
  </si>
  <si>
    <t>Gross Profit (Net Revenue) per year</t>
  </si>
  <si>
    <t>1)</t>
  </si>
  <si>
    <t>2-3</t>
  </si>
  <si>
    <t>&gt;3</t>
  </si>
  <si>
    <t>Tiers #</t>
  </si>
  <si>
    <t>Products</t>
  </si>
  <si>
    <t xml:space="preserve">      b.1. Basic Subscription</t>
  </si>
  <si>
    <t xml:space="preserve">      b.2. Premium Subscription</t>
  </si>
  <si>
    <t>c. Waste Management Subscription</t>
  </si>
  <si>
    <t>d. Frass Sales</t>
  </si>
  <si>
    <t>a. Bio-reactor Sales</t>
  </si>
  <si>
    <t>b. Bio-reactor Subscription</t>
  </si>
  <si>
    <t xml:space="preserve">      c.1. Retail</t>
  </si>
  <si>
    <t xml:space="preserve">      b.2. B2B</t>
  </si>
  <si>
    <t>Classification of Tiers</t>
  </si>
  <si>
    <t># of Bio-reactors per client</t>
  </si>
  <si>
    <t>2)</t>
  </si>
  <si>
    <t>3)</t>
  </si>
  <si>
    <t>8Circular Business Model Bio-reactors</t>
  </si>
  <si>
    <t>Business Model as basis for Business Plan</t>
  </si>
  <si>
    <t>AytSi+ Bio-reactors</t>
  </si>
  <si>
    <t>Retail National</t>
  </si>
  <si>
    <t>Retail International</t>
  </si>
  <si>
    <t>AytSi+ Bio-reactor Sales (Units)</t>
  </si>
  <si>
    <t>Basic Subscriptions (Units)</t>
  </si>
  <si>
    <t>Premium Subscriptions (Units)</t>
  </si>
  <si>
    <t>Waste Management Subscriptions (Units)</t>
  </si>
  <si>
    <t>Frass (ton/yr)</t>
  </si>
  <si>
    <t>TOTAL General Costs</t>
  </si>
  <si>
    <t>General equipment</t>
  </si>
  <si>
    <t>Container + Machinery of Bio-reactor</t>
  </si>
  <si>
    <t>Laboratory, Warehouse &amp; Office</t>
  </si>
  <si>
    <t>Other</t>
  </si>
  <si>
    <t>Fixed assets</t>
  </si>
  <si>
    <t>Rental office and space conditioning</t>
  </si>
  <si>
    <t>Utilities</t>
  </si>
  <si>
    <t>Raw materials</t>
  </si>
  <si>
    <t>Outsourcing</t>
  </si>
  <si>
    <t>Consultancy</t>
  </si>
  <si>
    <t>Tax Advisory and Management</t>
  </si>
  <si>
    <t>Lab analysis</t>
  </si>
  <si>
    <t>AI-development</t>
  </si>
  <si>
    <t>Other expenses</t>
  </si>
  <si>
    <t>Insurances</t>
  </si>
  <si>
    <t>Commercial expenses (client visits)</t>
  </si>
  <si>
    <t>Tax Advisory</t>
  </si>
  <si>
    <t>TOTAL sales (kg)</t>
  </si>
  <si>
    <t>Frass Retail National (kg)</t>
  </si>
  <si>
    <t>Frass Retail National %</t>
  </si>
  <si>
    <t>Frass Retail International (kg)</t>
  </si>
  <si>
    <t>Frass Retail International %</t>
  </si>
  <si>
    <t>Start selling B2B frass</t>
  </si>
  <si>
    <t>1 logistic center per 20 containers</t>
  </si>
  <si>
    <t>Annual barely production</t>
  </si>
  <si>
    <t>Ton/year</t>
  </si>
  <si>
    <t>HMB Caso Cibeles</t>
  </si>
  <si>
    <t>List of assumptions:</t>
  </si>
  <si>
    <t>- No dewatering device implemented</t>
  </si>
  <si>
    <t>- Density of 5-DOL and fresh larvae come from Ani feedback (email)</t>
  </si>
  <si>
    <t>PROCESS DATASHEET FOR</t>
  </si>
  <si>
    <t>MASS BALANCE</t>
  </si>
  <si>
    <t>Units</t>
  </si>
  <si>
    <t>Remarks</t>
  </si>
  <si>
    <t>- Quantity and composition of emissions have been extrapolated from paper Guo 2020</t>
  </si>
  <si>
    <t>GRANDE</t>
  </si>
  <si>
    <t># Containers</t>
  </si>
  <si>
    <t>Torres</t>
  </si>
  <si>
    <t>Bloques</t>
  </si>
  <si>
    <t>5t/d waste</t>
  </si>
  <si>
    <t>1t/d larva fresa</t>
  </si>
  <si>
    <t>220kg/d harina</t>
  </si>
  <si>
    <t>1000 m2 --&gt;50t/yr</t>
  </si>
  <si>
    <t>Box capacity</t>
  </si>
  <si>
    <t>kg/box</t>
  </si>
  <si>
    <t>Container # box capacity</t>
  </si>
  <si>
    <t>#box/container</t>
  </si>
  <si>
    <t>Space available per batch</t>
  </si>
  <si>
    <t>One treatment per week every 12 days - See Batch Operations tab</t>
  </si>
  <si>
    <t># boxes per treatment</t>
  </si>
  <si>
    <t>#box/batch</t>
  </si>
  <si>
    <t>Container total waste capacity</t>
  </si>
  <si>
    <t>t/container</t>
  </si>
  <si>
    <t>Container waste capacity per batch (1 every 4 days)</t>
  </si>
  <si>
    <t>t/batch</t>
  </si>
  <si>
    <t>Production hours</t>
  </si>
  <si>
    <t>hr/yr</t>
  </si>
  <si>
    <t>Production weeks</t>
  </si>
  <si>
    <t>wk/yr</t>
  </si>
  <si>
    <t>- Water for sanitizing and washing is considered as 20% more than the volume of fresh larvae (in m3/day)</t>
  </si>
  <si>
    <t># batch/yr</t>
  </si>
  <si>
    <t>Batch/yr</t>
  </si>
  <si>
    <t>#batch/week</t>
  </si>
  <si>
    <t>batch/wk</t>
  </si>
  <si>
    <t>Plant yearly waste capacity</t>
  </si>
  <si>
    <t>t/yr</t>
  </si>
  <si>
    <t>- Assume that weight loss after sanitizing is 2%</t>
  </si>
  <si>
    <t>Plant weekly waste capacity</t>
  </si>
  <si>
    <t>t/week</t>
  </si>
  <si>
    <t>Days of treatment/batch</t>
  </si>
  <si>
    <t>days</t>
  </si>
  <si>
    <t>From 6-DOL to 17-DOL</t>
  </si>
  <si>
    <t>Container fresh larvae total capacity</t>
  </si>
  <si>
    <t>kg/container</t>
  </si>
  <si>
    <t>Assuming 3 batches per container</t>
  </si>
  <si>
    <t>Container fresh larvae capacity per batch</t>
  </si>
  <si>
    <t>kg/batch</t>
  </si>
  <si>
    <t>kg/year</t>
  </si>
  <si>
    <t>Plant yearly fresh larvae capacity</t>
  </si>
  <si>
    <t>Annual beer production (1 L beer needs 200g of barely)</t>
  </si>
  <si>
    <t>L/year</t>
  </si>
  <si>
    <t>https://www.malteurop.com/en/node/178#:~:text=Indeed%2C%20malt%20is%20the%20main,to%20obtain%20the%20finished%20product.</t>
  </si>
  <si>
    <t>Plant weekly fresh larvae capacity</t>
  </si>
  <si>
    <t>kg/wk</t>
  </si>
  <si>
    <t>H L/year</t>
  </si>
  <si>
    <t>Plant yearly frass capacity</t>
  </si>
  <si>
    <t>Annual bagasse production (20kg per H L beer produced)</t>
  </si>
  <si>
    <t>https://www.mdpi.com/2073-4360/15/8/1877</t>
  </si>
  <si>
    <t>Plant weekly frass capacity</t>
  </si>
  <si>
    <t>ton/year</t>
  </si>
  <si>
    <t>STREAM DESCRIPTION</t>
  </si>
  <si>
    <t>Bagazo</t>
  </si>
  <si>
    <t>Pienso de pollo</t>
  </si>
  <si>
    <t>Coco peat</t>
  </si>
  <si>
    <t>5-DOL</t>
  </si>
  <si>
    <t>Rest+Larvaes</t>
  </si>
  <si>
    <t>Fresh larvae</t>
  </si>
  <si>
    <t>Dried Larvae</t>
  </si>
  <si>
    <t>Frass (assumption)</t>
  </si>
  <si>
    <t>Rest</t>
  </si>
  <si>
    <t>Base of design</t>
  </si>
  <si>
    <t>Properties</t>
  </si>
  <si>
    <t>Value</t>
  </si>
  <si>
    <t>TOTAL</t>
  </si>
  <si>
    <t>Plant capacity</t>
  </si>
  <si>
    <t>kg/week</t>
  </si>
  <si>
    <t>Useful residue</t>
  </si>
  <si>
    <t>%</t>
  </si>
  <si>
    <t>Out of plant capacity</t>
  </si>
  <si>
    <t>kg/month</t>
  </si>
  <si>
    <t>Starting water content substrate</t>
  </si>
  <si>
    <t>Taken from experiment 3 (12/03/2023) - Bagazo solo</t>
  </si>
  <si>
    <t>kg/yr</t>
  </si>
  <si>
    <t>References used</t>
  </si>
  <si>
    <t>Operating temperature</t>
  </si>
  <si>
    <t>°C</t>
  </si>
  <si>
    <t>amb</t>
  </si>
  <si>
    <t>26 °C</t>
  </si>
  <si>
    <t>Operating pressure</t>
  </si>
  <si>
    <t>atm</t>
  </si>
  <si>
    <t>Formula</t>
  </si>
  <si>
    <t>Batch Operation Capacity</t>
  </si>
  <si>
    <t>kg/h</t>
  </si>
  <si>
    <t>DOT</t>
  </si>
  <si>
    <t># days</t>
  </si>
  <si>
    <t>Batch Cycle time</t>
  </si>
  <si>
    <t>hours</t>
  </si>
  <si>
    <t>Neonates Survival rate</t>
  </si>
  <si>
    <t>REMARKS</t>
  </si>
  <si>
    <t>2,5 kg per 12g of neonates (33% CF, 67% water) - Experiment 3</t>
  </si>
  <si>
    <t>Neonates are required every week for the starting treatment</t>
  </si>
  <si>
    <t>5-DOL are required every week for the starting treatment</t>
  </si>
  <si>
    <t>La cosecha de larvas se producira toda el mismo dia por lo que los equipos deben tener la capacidad de kg/key day</t>
  </si>
  <si>
    <t>Neonates weight requirement</t>
  </si>
  <si>
    <t>g/# 5-DOL needed</t>
  </si>
  <si>
    <t>10g have 500,000 neonates - Bioflytech</t>
  </si>
  <si>
    <t>Number 5-DOL required/kg waste treated</t>
  </si>
  <si>
    <t>#/kg</t>
  </si>
  <si>
    <t>Taken from experiment 3 (12/03/2023) - as per Paula experience</t>
  </si>
  <si>
    <t>Water content in waste for treatment</t>
  </si>
  <si>
    <t>Total 5-DOL needed</t>
  </si>
  <si>
    <t>Yield wet larvae from fresh substrate</t>
  </si>
  <si>
    <t>WW%</t>
  </si>
  <si>
    <t>Fresh larva weight WW (kg) / Substrate WW (kg)</t>
  </si>
  <si>
    <t>Calculated from experiment 2 (13/02/2023) - average yields from experiments with bagazo)</t>
  </si>
  <si>
    <t>Yield frass from fresh substrate</t>
  </si>
  <si>
    <t>Frass weight WW (kg) / Substrate WW (kg)</t>
  </si>
  <si>
    <t>Assumption - to be confirmed</t>
  </si>
  <si>
    <t>Yield fat from fresh substrate</t>
  </si>
  <si>
    <t>Fat WW (kg)/Sustrate WW (kg)</t>
  </si>
  <si>
    <t>Yield protein meal from fresh substrate</t>
  </si>
  <si>
    <t>Protein Meal WW (kg)/Sustrate WW (kg)</t>
  </si>
  <si>
    <t>Yield dried larvae from fresh substrate</t>
  </si>
  <si>
    <t>Dried larva weight WW (kg) / Substrate WW (kg)</t>
  </si>
  <si>
    <t>Weight 5-DOL</t>
  </si>
  <si>
    <t>mg</t>
  </si>
  <si>
    <t>Calculated from 1.69g = 1650 5-DOL as per experiment 3 (12/03/2023)</t>
  </si>
  <si>
    <t>Waste reduction</t>
  </si>
  <si>
    <t>Production TOTAL (kg)</t>
  </si>
  <si>
    <t>Advanced</t>
  </si>
  <si>
    <t>Service Agreement Suppliers (&amp; Container Agreement)</t>
  </si>
  <si>
    <t>Land</t>
  </si>
  <si>
    <t>Production facility 8 circular (Headquarters)</t>
  </si>
  <si>
    <t>Logistic centres</t>
  </si>
  <si>
    <t>Building / Construction</t>
  </si>
  <si>
    <t>Contigencies</t>
  </si>
  <si>
    <t>Truck crane</t>
  </si>
  <si>
    <t>Crate washer</t>
  </si>
  <si>
    <t>Rotary oven/ dryer</t>
  </si>
  <si>
    <t># logistic centres</t>
  </si>
  <si>
    <t>Software Engineer</t>
  </si>
  <si>
    <t>Administrative</t>
  </si>
  <si>
    <t>HR</t>
  </si>
  <si>
    <t>CMO</t>
  </si>
  <si>
    <t>R&amp;D</t>
  </si>
  <si>
    <t>Vision &amp; Milestones</t>
  </si>
  <si>
    <t>End of year intallation in farm</t>
  </si>
  <si>
    <t>Bio-reactor tests in farm &amp; selling frass.</t>
  </si>
  <si>
    <t>Start selling bio-reactors to clients</t>
  </si>
  <si>
    <t xml:space="preserve">Outsource the production of containers </t>
  </si>
  <si>
    <t>Other agreements with different chain supermarkets</t>
  </si>
  <si>
    <t>2 logistic centers at end of year</t>
  </si>
  <si>
    <t>4 logistic centers at end of year</t>
  </si>
  <si>
    <t>5 logistic centers at end of year</t>
  </si>
  <si>
    <t>4)</t>
  </si>
  <si>
    <t>Agreement of +20 bio-reactors with supermarket</t>
  </si>
  <si>
    <t>Agreement of +40 bio-reactors with supermarket</t>
  </si>
  <si>
    <t>Agreement of +60 bio-reactors with supermarket</t>
  </si>
  <si>
    <t>Agreement of +80 bio-reactors with supermarket</t>
  </si>
  <si>
    <t>First 3 bio-reactors sold</t>
  </si>
  <si>
    <t>Agreement with supermarket. +6 bioreactors</t>
  </si>
  <si>
    <t>Headquarters</t>
  </si>
  <si>
    <t>Logistics centre</t>
  </si>
  <si>
    <t>Logistics Headquarters</t>
  </si>
  <si>
    <t>PLAYBOOK - Advance</t>
  </si>
  <si>
    <t>Gross Revenue per year</t>
  </si>
  <si>
    <t xml:space="preserve">Prototype Bio-reactor 2.0. </t>
  </si>
  <si>
    <t>Bio-reactor 2.0 optimization</t>
  </si>
  <si>
    <t>End of year design and execution of Bio-reactor 2.1</t>
  </si>
  <si>
    <t>Partners</t>
  </si>
  <si>
    <t>Share</t>
  </si>
  <si>
    <t>1. Alberto González (CEO)</t>
  </si>
  <si>
    <t>2. Amaru González (COO)</t>
  </si>
  <si>
    <t>3. Ainara Uriarte (VP innovation)</t>
  </si>
  <si>
    <t>4. Álvaro Pol (Business Dev.)</t>
  </si>
  <si>
    <t>5. Javier Selgas (BOD independent director)</t>
  </si>
  <si>
    <t>6. Paula Huerta (CSO)</t>
  </si>
  <si>
    <t>7. Diego Salgado (Partner)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</si>
</sst>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.00_);_(* \(#,##0.00\);_(* &quot;-&quot;??_);_(@_)"/>
    <numFmt numFmtId="165" formatCode="0.0"/>
    <numFmt numFmtId="166" formatCode="[$€]#,##0"/>
    <numFmt numFmtId="167" formatCode="_ &quot;€&quot;\ * #,##0_ ;_ &quot;€&quot;\ * \-#,##0_ ;_ &quot;€&quot;\ * &quot;-&quot;??_ ;_ @_ "/>
    <numFmt numFmtId="168" formatCode="[$$]#,##0"/>
    <numFmt numFmtId="169" formatCode="[$€-462]\ #,##0"/>
    <numFmt numFmtId="170" formatCode="[$€-462]\ #,##0.00_-"/>
    <numFmt numFmtId="171" formatCode="[$€-462]\ #,##0.00"/>
    <numFmt numFmtId="172" formatCode="[$€]#,##0.00"/>
    <numFmt numFmtId="173" formatCode="&quot;€&quot;\ #,##0"/>
    <numFmt numFmtId="174" formatCode="_ * #,##0_ ;_ * \-#,##0_ ;_ * &quot;-&quot;??_ ;_ @_ "/>
    <numFmt numFmtId="175" formatCode="_(&quot;€&quot;* #,##0.00_);_(&quot;€&quot;* \(#,##0.00\);_(&quot;€&quot;* &quot;-&quot;??_);_(@_)"/>
    <numFmt numFmtId="176" formatCode="[$-F400]h:mm:ss\ AM/PM"/>
    <numFmt numFmtId="177" formatCode="#,##0.000"/>
    <numFmt numFmtId="178" formatCode="0.0%"/>
    <numFmt numFmtId="179" formatCode="[$€]#,##0.0"/>
  </numFmts>
  <fonts count="6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8"/>
      <color rgb="FF93C47D"/>
      <name val="Oswald"/>
    </font>
    <font>
      <sz val="9"/>
      <color rgb="FF0049C0"/>
      <name val="Arial"/>
      <family val="2"/>
    </font>
    <font>
      <sz val="8"/>
      <color theme="1"/>
      <name val="Arial"/>
      <family val="2"/>
    </font>
    <font>
      <b/>
      <sz val="16"/>
      <color rgb="FF38761D"/>
      <name val="Oswald"/>
    </font>
    <font>
      <sz val="10"/>
      <color theme="9"/>
      <name val="Arial"/>
      <family val="2"/>
    </font>
    <font>
      <sz val="11"/>
      <color theme="9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rgb="FFD9D9D9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  <scheme val="minor"/>
    </font>
    <font>
      <b/>
      <sz val="18"/>
      <color rgb="FF434343"/>
      <name val="Oswald"/>
    </font>
    <font>
      <b/>
      <sz val="9"/>
      <color rgb="FF0049C0"/>
      <name val="Arial"/>
      <family val="2"/>
    </font>
    <font>
      <b/>
      <sz val="10"/>
      <color theme="1"/>
      <name val="Arial"/>
      <family val="2"/>
    </font>
    <font>
      <sz val="60"/>
      <name val="Arial"/>
      <family val="2"/>
    </font>
    <font>
      <sz val="2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i/>
      <sz val="21"/>
      <color indexed="53"/>
      <name val="Arial"/>
      <family val="2"/>
    </font>
    <font>
      <b/>
      <sz val="10"/>
      <name val="Arial"/>
      <family val="2"/>
    </font>
    <font>
      <vertAlign val="superscript"/>
      <sz val="5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8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b/>
      <sz val="14"/>
      <name val="Verdana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99DC90"/>
      <name val="Arial"/>
      <family val="2"/>
    </font>
    <font>
      <b/>
      <sz val="24"/>
      <color theme="9"/>
      <name val="Arial"/>
      <family val="2"/>
    </font>
    <font>
      <b/>
      <sz val="14"/>
      <color theme="9"/>
      <name val="Verdana"/>
      <family val="2"/>
    </font>
    <font>
      <b/>
      <sz val="10"/>
      <color theme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24"/>
      <color rgb="FF000000"/>
      <name val="Arial Black"/>
      <family val="2"/>
    </font>
    <font>
      <b/>
      <sz val="12"/>
      <color rgb="FF000000"/>
      <name val="Arial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rgb="FFFFFFFF"/>
      <name val="Arial"/>
      <family val="2"/>
    </font>
    <font>
      <i/>
      <u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38761D"/>
        <bgColor rgb="FF38761D"/>
      </patternFill>
    </fill>
    <fill>
      <patternFill patternType="solid">
        <fgColor rgb="FFF3F3F3"/>
        <bgColor rgb="FFF3F3F3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3F3F3"/>
      </patternFill>
    </fill>
    <fill>
      <patternFill patternType="solid">
        <fgColor rgb="FF0049C0"/>
        <bgColor rgb="FF0049C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3F3F3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AEDC5"/>
        <bgColor indexed="64"/>
      </patternFill>
    </fill>
  </fills>
  <borders count="79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/>
      <bottom style="medium">
        <color rgb="FFB7B7B7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medium">
        <color rgb="FFFFFFF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/>
      <bottom style="thin">
        <color rgb="FFFFFFFF"/>
      </bottom>
      <diagonal/>
    </border>
    <border>
      <left/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2" fillId="0" borderId="0"/>
    <xf numFmtId="0" fontId="39" fillId="0" borderId="0"/>
    <xf numFmtId="9" fontId="48" fillId="0" borderId="0" applyFont="0" applyFill="0" applyBorder="0" applyAlignment="0" applyProtection="0"/>
    <xf numFmtId="164" fontId="48" fillId="0" borderId="0" applyFont="0" applyFill="0" applyBorder="0" applyAlignment="0" applyProtection="0"/>
  </cellStyleXfs>
  <cellXfs count="493">
    <xf numFmtId="0" fontId="0" fillId="0" borderId="0" xfId="0"/>
    <xf numFmtId="0" fontId="1" fillId="0" borderId="0" xfId="1"/>
    <xf numFmtId="0" fontId="3" fillId="2" borderId="0" xfId="1" applyFont="1" applyFill="1"/>
    <xf numFmtId="0" fontId="4" fillId="0" borderId="0" xfId="1" applyFont="1"/>
    <xf numFmtId="0" fontId="5" fillId="0" borderId="0" xfId="1" applyFont="1"/>
    <xf numFmtId="0" fontId="2" fillId="0" borderId="0" xfId="1" applyFont="1"/>
    <xf numFmtId="165" fontId="6" fillId="3" borderId="1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top"/>
    </xf>
    <xf numFmtId="0" fontId="9" fillId="0" borderId="0" xfId="1" applyFont="1"/>
    <xf numFmtId="0" fontId="10" fillId="0" borderId="0" xfId="1" applyFont="1"/>
    <xf numFmtId="0" fontId="13" fillId="0" borderId="2" xfId="1" applyFont="1" applyBorder="1"/>
    <xf numFmtId="0" fontId="14" fillId="0" borderId="2" xfId="1" applyFont="1" applyBorder="1"/>
    <xf numFmtId="166" fontId="14" fillId="0" borderId="2" xfId="1" applyNumberFormat="1" applyFont="1" applyBorder="1"/>
    <xf numFmtId="0" fontId="15" fillId="0" borderId="2" xfId="1" applyFont="1" applyBorder="1"/>
    <xf numFmtId="166" fontId="4" fillId="0" borderId="0" xfId="1" applyNumberFormat="1" applyFont="1"/>
    <xf numFmtId="0" fontId="13" fillId="0" borderId="0" xfId="1" applyFont="1"/>
    <xf numFmtId="0" fontId="14" fillId="0" borderId="0" xfId="1" applyFont="1"/>
    <xf numFmtId="0" fontId="13" fillId="2" borderId="0" xfId="1" applyFont="1" applyFill="1"/>
    <xf numFmtId="0" fontId="16" fillId="2" borderId="0" xfId="1" applyFont="1" applyFill="1"/>
    <xf numFmtId="0" fontId="14" fillId="2" borderId="3" xfId="1" applyFont="1" applyFill="1" applyBorder="1"/>
    <xf numFmtId="0" fontId="11" fillId="0" borderId="0" xfId="1" applyFont="1"/>
    <xf numFmtId="0" fontId="18" fillId="4" borderId="7" xfId="1" applyFont="1" applyFill="1" applyBorder="1" applyAlignment="1">
      <alignment horizontal="right"/>
    </xf>
    <xf numFmtId="0" fontId="18" fillId="4" borderId="3" xfId="1" applyFont="1" applyFill="1" applyBorder="1"/>
    <xf numFmtId="0" fontId="18" fillId="4" borderId="8" xfId="1" applyFont="1" applyFill="1" applyBorder="1"/>
    <xf numFmtId="0" fontId="18" fillId="4" borderId="7" xfId="1" applyFont="1" applyFill="1" applyBorder="1"/>
    <xf numFmtId="0" fontId="18" fillId="4" borderId="0" xfId="1" applyFont="1" applyFill="1"/>
    <xf numFmtId="0" fontId="18" fillId="4" borderId="0" xfId="1" applyFont="1" applyFill="1" applyAlignment="1">
      <alignment horizontal="right"/>
    </xf>
    <xf numFmtId="0" fontId="11" fillId="0" borderId="0" xfId="1" applyFont="1" applyAlignment="1">
      <alignment horizontal="center"/>
    </xf>
    <xf numFmtId="0" fontId="19" fillId="0" borderId="0" xfId="1" applyFont="1"/>
    <xf numFmtId="0" fontId="11" fillId="5" borderId="0" xfId="1" applyFont="1" applyFill="1" applyAlignment="1">
      <alignment horizontal="center"/>
    </xf>
    <xf numFmtId="0" fontId="19" fillId="5" borderId="0" xfId="1" applyFont="1" applyFill="1"/>
    <xf numFmtId="0" fontId="11" fillId="5" borderId="0" xfId="1" applyFont="1" applyFill="1"/>
    <xf numFmtId="0" fontId="14" fillId="5" borderId="0" xfId="1" applyFont="1" applyFill="1"/>
    <xf numFmtId="166" fontId="11" fillId="0" borderId="0" xfId="1" applyNumberFormat="1" applyFont="1"/>
    <xf numFmtId="167" fontId="11" fillId="5" borderId="0" xfId="1" applyNumberFormat="1" applyFont="1" applyFill="1"/>
    <xf numFmtId="167" fontId="1" fillId="0" borderId="0" xfId="1" applyNumberFormat="1"/>
    <xf numFmtId="167" fontId="11" fillId="0" borderId="0" xfId="1" applyNumberFormat="1" applyFont="1"/>
    <xf numFmtId="168" fontId="11" fillId="0" borderId="0" xfId="1" applyNumberFormat="1" applyFont="1"/>
    <xf numFmtId="165" fontId="11" fillId="0" borderId="0" xfId="1" applyNumberFormat="1" applyFont="1"/>
    <xf numFmtId="169" fontId="11" fillId="5" borderId="0" xfId="1" applyNumberFormat="1" applyFont="1" applyFill="1"/>
    <xf numFmtId="169" fontId="11" fillId="0" borderId="0" xfId="1" applyNumberFormat="1" applyFont="1"/>
    <xf numFmtId="170" fontId="11" fillId="0" borderId="0" xfId="1" applyNumberFormat="1" applyFont="1"/>
    <xf numFmtId="172" fontId="11" fillId="5" borderId="0" xfId="1" applyNumberFormat="1" applyFont="1" applyFill="1"/>
    <xf numFmtId="172" fontId="11" fillId="0" borderId="0" xfId="1" applyNumberFormat="1" applyFont="1"/>
    <xf numFmtId="172" fontId="14" fillId="0" borderId="0" xfId="1" applyNumberFormat="1" applyFont="1"/>
    <xf numFmtId="172" fontId="1" fillId="0" borderId="0" xfId="1" applyNumberFormat="1"/>
    <xf numFmtId="165" fontId="14" fillId="0" borderId="0" xfId="1" applyNumberFormat="1" applyFont="1"/>
    <xf numFmtId="172" fontId="6" fillId="3" borderId="1" xfId="1" applyNumberFormat="1" applyFont="1" applyFill="1" applyBorder="1" applyAlignment="1">
      <alignment vertical="center"/>
    </xf>
    <xf numFmtId="173" fontId="6" fillId="3" borderId="1" xfId="1" applyNumberFormat="1" applyFont="1" applyFill="1" applyBorder="1" applyAlignment="1">
      <alignment vertical="center"/>
    </xf>
    <xf numFmtId="173" fontId="6" fillId="3" borderId="10" xfId="1" applyNumberFormat="1" applyFont="1" applyFill="1" applyBorder="1" applyAlignment="1">
      <alignment horizontal="right"/>
    </xf>
    <xf numFmtId="173" fontId="6" fillId="3" borderId="11" xfId="1" applyNumberFormat="1" applyFont="1" applyFill="1" applyBorder="1" applyAlignment="1">
      <alignment horizontal="right"/>
    </xf>
    <xf numFmtId="173" fontId="11" fillId="0" borderId="0" xfId="1" applyNumberFormat="1" applyFont="1"/>
    <xf numFmtId="166" fontId="6" fillId="3" borderId="1" xfId="1" applyNumberFormat="1" applyFont="1" applyFill="1" applyBorder="1" applyAlignment="1">
      <alignment vertical="center"/>
    </xf>
    <xf numFmtId="0" fontId="20" fillId="0" borderId="0" xfId="1" applyFont="1"/>
    <xf numFmtId="0" fontId="6" fillId="0" borderId="0" xfId="1" applyFont="1"/>
    <xf numFmtId="165" fontId="6" fillId="0" borderId="0" xfId="1" applyNumberFormat="1" applyFont="1"/>
    <xf numFmtId="165" fontId="14" fillId="0" borderId="12" xfId="1" applyNumberFormat="1" applyFont="1" applyBorder="1"/>
    <xf numFmtId="1" fontId="19" fillId="0" borderId="0" xfId="1" applyNumberFormat="1" applyFont="1"/>
    <xf numFmtId="1" fontId="14" fillId="0" borderId="0" xfId="1" applyNumberFormat="1" applyFont="1"/>
    <xf numFmtId="165" fontId="6" fillId="3" borderId="13" xfId="1" applyNumberFormat="1" applyFont="1" applyFill="1" applyBorder="1" applyAlignment="1">
      <alignment vertical="center"/>
    </xf>
    <xf numFmtId="165" fontId="6" fillId="3" borderId="13" xfId="1" applyNumberFormat="1" applyFont="1" applyFill="1" applyBorder="1" applyAlignment="1">
      <alignment horizontal="right"/>
    </xf>
    <xf numFmtId="172" fontId="6" fillId="3" borderId="13" xfId="1" applyNumberFormat="1" applyFont="1" applyFill="1" applyBorder="1" applyAlignment="1">
      <alignment vertical="center"/>
    </xf>
    <xf numFmtId="172" fontId="6" fillId="3" borderId="13" xfId="1" applyNumberFormat="1" applyFont="1" applyFill="1" applyBorder="1" applyAlignment="1">
      <alignment horizontal="right"/>
    </xf>
    <xf numFmtId="0" fontId="14" fillId="0" borderId="14" xfId="1" applyFont="1" applyBorder="1"/>
    <xf numFmtId="9" fontId="6" fillId="0" borderId="0" xfId="1" applyNumberFormat="1" applyFont="1"/>
    <xf numFmtId="9" fontId="6" fillId="0" borderId="15" xfId="1" applyNumberFormat="1" applyFont="1" applyBorder="1"/>
    <xf numFmtId="0" fontId="21" fillId="0" borderId="0" xfId="1" applyFont="1"/>
    <xf numFmtId="1" fontId="11" fillId="0" borderId="0" xfId="1" applyNumberFormat="1" applyFont="1"/>
    <xf numFmtId="1" fontId="22" fillId="0" borderId="15" xfId="1" applyNumberFormat="1" applyFont="1" applyBorder="1"/>
    <xf numFmtId="1" fontId="6" fillId="0" borderId="15" xfId="1" applyNumberFormat="1" applyFont="1" applyBorder="1"/>
    <xf numFmtId="165" fontId="22" fillId="0" borderId="0" xfId="1" applyNumberFormat="1" applyFont="1"/>
    <xf numFmtId="169" fontId="14" fillId="0" borderId="0" xfId="1" applyNumberFormat="1" applyFont="1"/>
    <xf numFmtId="0" fontId="1" fillId="7" borderId="0" xfId="1" applyFill="1"/>
    <xf numFmtId="0" fontId="25" fillId="0" borderId="0" xfId="1" applyFont="1" applyAlignment="1">
      <alignment vertical="top"/>
    </xf>
    <xf numFmtId="0" fontId="18" fillId="0" borderId="0" xfId="1" applyFont="1"/>
    <xf numFmtId="0" fontId="18" fillId="11" borderId="3" xfId="1" applyFont="1" applyFill="1" applyBorder="1"/>
    <xf numFmtId="0" fontId="18" fillId="11" borderId="3" xfId="1" applyFont="1" applyFill="1" applyBorder="1" applyAlignment="1">
      <alignment horizontal="right"/>
    </xf>
    <xf numFmtId="0" fontId="14" fillId="0" borderId="0" xfId="1" applyFont="1" applyAlignment="1">
      <alignment horizontal="right"/>
    </xf>
    <xf numFmtId="172" fontId="26" fillId="3" borderId="15" xfId="1" applyNumberFormat="1" applyFont="1" applyFill="1" applyBorder="1"/>
    <xf numFmtId="0" fontId="27" fillId="0" borderId="0" xfId="1" applyFont="1"/>
    <xf numFmtId="0" fontId="1" fillId="0" borderId="27" xfId="1" applyBorder="1"/>
    <xf numFmtId="0" fontId="11" fillId="0" borderId="27" xfId="1" applyFont="1" applyBorder="1"/>
    <xf numFmtId="0" fontId="11" fillId="2" borderId="0" xfId="1" applyFont="1" applyFill="1"/>
    <xf numFmtId="0" fontId="11" fillId="7" borderId="0" xfId="1" applyFont="1" applyFill="1"/>
    <xf numFmtId="0" fontId="19" fillId="7" borderId="0" xfId="1" applyFont="1" applyFill="1"/>
    <xf numFmtId="167" fontId="11" fillId="7" borderId="0" xfId="1" applyNumberFormat="1" applyFont="1" applyFill="1"/>
    <xf numFmtId="0" fontId="11" fillId="12" borderId="0" xfId="1" applyFont="1" applyFill="1"/>
    <xf numFmtId="0" fontId="11" fillId="13" borderId="0" xfId="1" applyFont="1" applyFill="1"/>
    <xf numFmtId="0" fontId="12" fillId="7" borderId="30" xfId="4" applyFill="1" applyBorder="1" applyAlignment="1">
      <alignment vertical="center"/>
    </xf>
    <xf numFmtId="0" fontId="12" fillId="7" borderId="31" xfId="4" applyFill="1" applyBorder="1" applyAlignment="1">
      <alignment vertical="center"/>
    </xf>
    <xf numFmtId="0" fontId="12" fillId="0" borderId="0" xfId="4" applyAlignment="1">
      <alignment vertical="center"/>
    </xf>
    <xf numFmtId="0" fontId="12" fillId="7" borderId="0" xfId="4" applyFill="1" applyAlignment="1">
      <alignment vertical="center"/>
    </xf>
    <xf numFmtId="0" fontId="12" fillId="7" borderId="20" xfId="4" applyFill="1" applyBorder="1" applyAlignment="1">
      <alignment vertical="center"/>
    </xf>
    <xf numFmtId="0" fontId="28" fillId="7" borderId="0" xfId="4" applyFont="1" applyFill="1" applyAlignment="1">
      <alignment vertical="center" wrapText="1"/>
    </xf>
    <xf numFmtId="49" fontId="12" fillId="7" borderId="0" xfId="4" applyNumberFormat="1" applyFill="1" applyAlignment="1">
      <alignment vertical="center"/>
    </xf>
    <xf numFmtId="0" fontId="30" fillId="7" borderId="0" xfId="4" applyFont="1" applyFill="1" applyAlignment="1">
      <alignment vertical="center"/>
    </xf>
    <xf numFmtId="0" fontId="30" fillId="7" borderId="20" xfId="4" applyFont="1" applyFill="1" applyBorder="1" applyAlignment="1">
      <alignment vertical="center"/>
    </xf>
    <xf numFmtId="0" fontId="31" fillId="7" borderId="29" xfId="4" applyFont="1" applyFill="1" applyBorder="1" applyAlignment="1">
      <alignment vertical="center"/>
    </xf>
    <xf numFmtId="0" fontId="31" fillId="7" borderId="30" xfId="4" applyFont="1" applyFill="1" applyBorder="1" applyAlignment="1">
      <alignment vertical="center"/>
    </xf>
    <xf numFmtId="0" fontId="32" fillId="7" borderId="30" xfId="4" applyFont="1" applyFill="1" applyBorder="1" applyAlignment="1">
      <alignment vertical="center"/>
    </xf>
    <xf numFmtId="0" fontId="31" fillId="7" borderId="19" xfId="4" applyFont="1" applyFill="1" applyBorder="1" applyAlignment="1">
      <alignment vertical="center"/>
    </xf>
    <xf numFmtId="0" fontId="31" fillId="7" borderId="0" xfId="4" applyFont="1" applyFill="1" applyAlignment="1">
      <alignment vertical="center"/>
    </xf>
    <xf numFmtId="0" fontId="32" fillId="7" borderId="0" xfId="4" applyFont="1" applyFill="1" applyAlignment="1">
      <alignment vertical="center"/>
    </xf>
    <xf numFmtId="0" fontId="12" fillId="7" borderId="19" xfId="4" applyFill="1" applyBorder="1" applyAlignment="1">
      <alignment vertical="center"/>
    </xf>
    <xf numFmtId="0" fontId="33" fillId="7" borderId="0" xfId="4" applyFont="1" applyFill="1" applyAlignment="1">
      <alignment vertical="center" wrapText="1"/>
    </xf>
    <xf numFmtId="0" fontId="12" fillId="7" borderId="23" xfId="4" applyFill="1" applyBorder="1" applyAlignment="1">
      <alignment vertical="center"/>
    </xf>
    <xf numFmtId="0" fontId="33" fillId="7" borderId="25" xfId="4" applyFont="1" applyFill="1" applyBorder="1" applyAlignment="1">
      <alignment vertical="center" wrapText="1"/>
    </xf>
    <xf numFmtId="0" fontId="34" fillId="7" borderId="19" xfId="4" applyFont="1" applyFill="1" applyBorder="1"/>
    <xf numFmtId="0" fontId="12" fillId="7" borderId="25" xfId="4" applyFill="1" applyBorder="1" applyAlignment="1">
      <alignment vertical="center"/>
    </xf>
    <xf numFmtId="0" fontId="32" fillId="7" borderId="25" xfId="4" applyFont="1" applyFill="1" applyBorder="1" applyAlignment="1">
      <alignment vertical="center"/>
    </xf>
    <xf numFmtId="0" fontId="12" fillId="7" borderId="24" xfId="4" applyFill="1" applyBorder="1" applyAlignment="1">
      <alignment vertical="center"/>
    </xf>
    <xf numFmtId="0" fontId="36" fillId="7" borderId="25" xfId="4" applyFont="1" applyFill="1" applyBorder="1" applyAlignment="1">
      <alignment vertical="center"/>
    </xf>
    <xf numFmtId="0" fontId="12" fillId="0" borderId="0" xfId="4"/>
    <xf numFmtId="0" fontId="0" fillId="7" borderId="60" xfId="0" applyFill="1" applyBorder="1"/>
    <xf numFmtId="0" fontId="0" fillId="7" borderId="0" xfId="0" applyFill="1"/>
    <xf numFmtId="0" fontId="24" fillId="7" borderId="27" xfId="0" applyFont="1" applyFill="1" applyBorder="1"/>
    <xf numFmtId="0" fontId="0" fillId="7" borderId="57" xfId="0" applyFill="1" applyBorder="1"/>
    <xf numFmtId="0" fontId="0" fillId="7" borderId="38" xfId="0" applyFill="1" applyBorder="1"/>
    <xf numFmtId="0" fontId="0" fillId="7" borderId="58" xfId="0" applyFill="1" applyBorder="1"/>
    <xf numFmtId="0" fontId="0" fillId="7" borderId="59" xfId="0" applyFill="1" applyBorder="1"/>
    <xf numFmtId="0" fontId="0" fillId="7" borderId="44" xfId="0" applyFill="1" applyBorder="1"/>
    <xf numFmtId="171" fontId="9" fillId="0" borderId="0" xfId="1" applyNumberFormat="1" applyFont="1"/>
    <xf numFmtId="0" fontId="38" fillId="7" borderId="57" xfId="0" applyFont="1" applyFill="1" applyBorder="1"/>
    <xf numFmtId="0" fontId="38" fillId="7" borderId="58" xfId="0" applyFont="1" applyFill="1" applyBorder="1"/>
    <xf numFmtId="0" fontId="12" fillId="0" borderId="0" xfId="5" applyFont="1" applyAlignment="1">
      <alignment vertical="top"/>
    </xf>
    <xf numFmtId="0" fontId="12" fillId="7" borderId="19" xfId="5" applyFont="1" applyFill="1" applyBorder="1" applyAlignment="1">
      <alignment horizontal="left" vertical="top" indent="1"/>
    </xf>
    <xf numFmtId="0" fontId="12" fillId="7" borderId="0" xfId="5" applyFont="1" applyFill="1" applyAlignment="1">
      <alignment horizontal="left" vertical="top"/>
    </xf>
    <xf numFmtId="0" fontId="12" fillId="7" borderId="20" xfId="5" applyFont="1" applyFill="1" applyBorder="1" applyAlignment="1">
      <alignment horizontal="left" vertical="top"/>
    </xf>
    <xf numFmtId="0" fontId="12" fillId="0" borderId="0" xfId="5" applyFont="1" applyAlignment="1">
      <alignment horizontal="left" vertical="top"/>
    </xf>
    <xf numFmtId="0" fontId="12" fillId="7" borderId="0" xfId="5" applyFont="1" applyFill="1" applyAlignment="1">
      <alignment vertical="top"/>
    </xf>
    <xf numFmtId="0" fontId="41" fillId="7" borderId="0" xfId="5" applyFont="1" applyFill="1" applyAlignment="1">
      <alignment horizontal="left" vertical="top"/>
    </xf>
    <xf numFmtId="0" fontId="33" fillId="7" borderId="0" xfId="5" applyFont="1" applyFill="1" applyAlignment="1">
      <alignment horizontal="left" vertical="top"/>
    </xf>
    <xf numFmtId="0" fontId="40" fillId="7" borderId="55" xfId="5" applyFont="1" applyFill="1" applyBorder="1" applyAlignment="1">
      <alignment vertical="top"/>
    </xf>
    <xf numFmtId="0" fontId="40" fillId="7" borderId="56" xfId="5" applyFont="1" applyFill="1" applyBorder="1" applyAlignment="1">
      <alignment vertical="top"/>
    </xf>
    <xf numFmtId="0" fontId="12" fillId="7" borderId="0" xfId="5" applyFont="1" applyFill="1" applyBorder="1" applyAlignment="1">
      <alignment horizontal="left" vertical="top" indent="1"/>
    </xf>
    <xf numFmtId="0" fontId="12" fillId="7" borderId="0" xfId="5" applyFont="1" applyFill="1" applyBorder="1" applyAlignment="1">
      <alignment horizontal="left" vertical="top"/>
    </xf>
    <xf numFmtId="0" fontId="40" fillId="7" borderId="19" xfId="5" applyFont="1" applyFill="1" applyBorder="1" applyAlignment="1">
      <alignment vertical="top"/>
    </xf>
    <xf numFmtId="0" fontId="40" fillId="7" borderId="0" xfId="5" applyFont="1" applyFill="1" applyBorder="1" applyAlignment="1">
      <alignment vertical="top"/>
    </xf>
    <xf numFmtId="0" fontId="41" fillId="7" borderId="0" xfId="5" applyFont="1" applyFill="1" applyBorder="1" applyAlignment="1">
      <alignment horizontal="left" vertical="top"/>
    </xf>
    <xf numFmtId="0" fontId="33" fillId="7" borderId="0" xfId="5" applyFont="1" applyFill="1" applyBorder="1" applyAlignment="1">
      <alignment horizontal="left" vertical="top"/>
    </xf>
    <xf numFmtId="0" fontId="42" fillId="7" borderId="29" xfId="5" applyFont="1" applyFill="1" applyBorder="1" applyAlignment="1">
      <alignment horizontal="left" vertical="top"/>
    </xf>
    <xf numFmtId="0" fontId="42" fillId="7" borderId="30" xfId="5" applyFont="1" applyFill="1" applyBorder="1" applyAlignment="1">
      <alignment horizontal="left" vertical="top"/>
    </xf>
    <xf numFmtId="0" fontId="12" fillId="7" borderId="31" xfId="5" applyFont="1" applyFill="1" applyBorder="1" applyAlignment="1">
      <alignment vertical="top"/>
    </xf>
    <xf numFmtId="0" fontId="12" fillId="7" borderId="20" xfId="5" applyFont="1" applyFill="1" applyBorder="1" applyAlignment="1">
      <alignment vertical="top"/>
    </xf>
    <xf numFmtId="0" fontId="12" fillId="7" borderId="25" xfId="5" applyFont="1" applyFill="1" applyBorder="1" applyAlignment="1">
      <alignment horizontal="left" vertical="top"/>
    </xf>
    <xf numFmtId="0" fontId="12" fillId="7" borderId="29" xfId="5" applyFont="1" applyFill="1" applyBorder="1" applyAlignment="1">
      <alignment horizontal="center" vertical="top"/>
    </xf>
    <xf numFmtId="0" fontId="12" fillId="7" borderId="19" xfId="5" applyFont="1" applyFill="1" applyBorder="1" applyAlignment="1">
      <alignment horizontal="center" vertical="top"/>
    </xf>
    <xf numFmtId="0" fontId="12" fillId="7" borderId="23" xfId="5" applyFont="1" applyFill="1" applyBorder="1" applyAlignment="1">
      <alignment horizontal="center" vertical="top"/>
    </xf>
    <xf numFmtId="0" fontId="12" fillId="7" borderId="0" xfId="5" applyFont="1" applyFill="1" applyBorder="1" applyAlignment="1">
      <alignment vertical="top"/>
    </xf>
    <xf numFmtId="0" fontId="12" fillId="7" borderId="23" xfId="5" applyFont="1" applyFill="1" applyBorder="1" applyAlignment="1">
      <alignment horizontal="left" vertical="top" indent="1"/>
    </xf>
    <xf numFmtId="0" fontId="12" fillId="7" borderId="25" xfId="5" applyFont="1" applyFill="1" applyBorder="1" applyAlignment="1">
      <alignment horizontal="left" vertical="top" indent="1"/>
    </xf>
    <xf numFmtId="0" fontId="12" fillId="7" borderId="24" xfId="5" applyFont="1" applyFill="1" applyBorder="1" applyAlignment="1">
      <alignment horizontal="left" vertical="top"/>
    </xf>
    <xf numFmtId="0" fontId="40" fillId="7" borderId="31" xfId="5" applyFont="1" applyFill="1" applyBorder="1" applyAlignment="1">
      <alignment vertical="top"/>
    </xf>
    <xf numFmtId="0" fontId="43" fillId="7" borderId="0" xfId="4" applyFont="1" applyFill="1" applyAlignment="1">
      <alignment vertical="center"/>
    </xf>
    <xf numFmtId="0" fontId="45" fillId="7" borderId="54" xfId="5" applyFont="1" applyFill="1" applyBorder="1" applyAlignment="1">
      <alignment vertical="top"/>
    </xf>
    <xf numFmtId="0" fontId="1" fillId="7" borderId="0" xfId="1" applyFill="1" applyProtection="1">
      <protection locked="0"/>
    </xf>
    <xf numFmtId="0" fontId="1" fillId="7" borderId="0" xfId="1" applyFill="1" applyAlignment="1" applyProtection="1">
      <alignment horizontal="center"/>
      <protection locked="0"/>
    </xf>
    <xf numFmtId="167" fontId="0" fillId="7" borderId="0" xfId="3" applyNumberFormat="1" applyFont="1" applyFill="1" applyAlignment="1" applyProtection="1">
      <protection locked="0"/>
    </xf>
    <xf numFmtId="167" fontId="7" fillId="7" borderId="0" xfId="3" applyNumberFormat="1" applyFont="1" applyFill="1" applyAlignment="1" applyProtection="1">
      <alignment vertical="center"/>
      <protection locked="0"/>
    </xf>
    <xf numFmtId="0" fontId="5" fillId="7" borderId="0" xfId="1" applyFont="1" applyFill="1" applyAlignment="1" applyProtection="1">
      <alignment horizontal="left"/>
      <protection locked="0"/>
    </xf>
    <xf numFmtId="167" fontId="7" fillId="7" borderId="0" xfId="3" applyNumberFormat="1" applyFont="1" applyFill="1" applyBorder="1" applyAlignment="1" applyProtection="1">
      <alignment vertical="center"/>
      <protection locked="0"/>
    </xf>
    <xf numFmtId="167" fontId="0" fillId="7" borderId="0" xfId="3" applyNumberFormat="1" applyFont="1" applyFill="1" applyBorder="1" applyAlignment="1" applyProtection="1">
      <protection locked="0"/>
    </xf>
    <xf numFmtId="0" fontId="8" fillId="7" borderId="0" xfId="1" applyFont="1" applyFill="1" applyAlignment="1" applyProtection="1">
      <alignment horizontal="left" vertical="top"/>
      <protection locked="0"/>
    </xf>
    <xf numFmtId="167" fontId="9" fillId="7" borderId="0" xfId="3" applyNumberFormat="1" applyFont="1" applyFill="1" applyProtection="1">
      <protection locked="0"/>
    </xf>
    <xf numFmtId="0" fontId="12" fillId="7" borderId="0" xfId="1" applyFont="1" applyFill="1" applyProtection="1">
      <protection locked="0"/>
    </xf>
    <xf numFmtId="167" fontId="13" fillId="7" borderId="2" xfId="3" applyNumberFormat="1" applyFont="1" applyFill="1" applyBorder="1" applyProtection="1">
      <protection locked="0"/>
    </xf>
    <xf numFmtId="167" fontId="14" fillId="7" borderId="2" xfId="3" applyNumberFormat="1" applyFont="1" applyFill="1" applyBorder="1" applyProtection="1">
      <protection locked="0"/>
    </xf>
    <xf numFmtId="0" fontId="1" fillId="6" borderId="0" xfId="1" applyFill="1" applyProtection="1">
      <protection locked="0"/>
    </xf>
    <xf numFmtId="0" fontId="13" fillId="6" borderId="0" xfId="1" applyFont="1" applyFill="1" applyProtection="1">
      <protection locked="0"/>
    </xf>
    <xf numFmtId="167" fontId="0" fillId="6" borderId="0" xfId="3" applyNumberFormat="1" applyFont="1" applyFill="1" applyAlignment="1" applyProtection="1">
      <protection locked="0"/>
    </xf>
    <xf numFmtId="1" fontId="1" fillId="0" borderId="0" xfId="1" applyNumberFormat="1" applyProtection="1">
      <protection locked="0"/>
    </xf>
    <xf numFmtId="1" fontId="13" fillId="2" borderId="0" xfId="1" applyNumberFormat="1" applyFont="1" applyFill="1" applyProtection="1">
      <protection locked="0"/>
    </xf>
    <xf numFmtId="1" fontId="16" fillId="2" borderId="0" xfId="3" applyNumberFormat="1" applyFont="1" applyFill="1" applyBorder="1" applyProtection="1">
      <protection locked="0"/>
    </xf>
    <xf numFmtId="1" fontId="1" fillId="7" borderId="0" xfId="1" applyNumberFormat="1" applyFill="1" applyProtection="1">
      <protection locked="0"/>
    </xf>
    <xf numFmtId="0" fontId="1" fillId="0" borderId="0" xfId="1" applyProtection="1">
      <protection locked="0"/>
    </xf>
    <xf numFmtId="0" fontId="1" fillId="9" borderId="0" xfId="1" applyFill="1" applyProtection="1">
      <protection locked="0"/>
    </xf>
    <xf numFmtId="167" fontId="1" fillId="7" borderId="0" xfId="1" applyNumberFormat="1" applyFill="1" applyProtection="1">
      <protection locked="0"/>
    </xf>
    <xf numFmtId="0" fontId="4" fillId="7" borderId="0" xfId="1" applyFont="1" applyFill="1" applyProtection="1">
      <protection locked="0"/>
    </xf>
    <xf numFmtId="167" fontId="24" fillId="7" borderId="26" xfId="3" applyNumberFormat="1" applyFont="1" applyFill="1" applyBorder="1" applyAlignment="1" applyProtection="1">
      <protection locked="0"/>
    </xf>
    <xf numFmtId="0" fontId="11" fillId="0" borderId="0" xfId="1" applyFont="1" applyProtection="1"/>
    <xf numFmtId="0" fontId="17" fillId="4" borderId="16" xfId="1" applyFont="1" applyFill="1" applyBorder="1" applyAlignment="1" applyProtection="1">
      <alignment vertical="center"/>
    </xf>
    <xf numFmtId="0" fontId="14" fillId="0" borderId="0" xfId="1" applyFont="1" applyProtection="1"/>
    <xf numFmtId="167" fontId="18" fillId="4" borderId="18" xfId="3" applyNumberFormat="1" applyFont="1" applyFill="1" applyBorder="1" applyProtection="1"/>
    <xf numFmtId="0" fontId="19" fillId="7" borderId="0" xfId="1" applyFont="1" applyFill="1" applyProtection="1"/>
    <xf numFmtId="167" fontId="11" fillId="7" borderId="20" xfId="3" applyNumberFormat="1" applyFont="1" applyFill="1" applyBorder="1" applyProtection="1"/>
    <xf numFmtId="0" fontId="19" fillId="10" borderId="21" xfId="1" applyFont="1" applyFill="1" applyBorder="1" applyProtection="1"/>
    <xf numFmtId="167" fontId="11" fillId="10" borderId="20" xfId="3" applyNumberFormat="1" applyFont="1" applyFill="1" applyBorder="1" applyProtection="1"/>
    <xf numFmtId="167" fontId="11" fillId="7" borderId="22" xfId="1" applyNumberFormat="1" applyFont="1" applyFill="1" applyBorder="1" applyProtection="1"/>
    <xf numFmtId="167" fontId="11" fillId="14" borderId="20" xfId="3" applyNumberFormat="1" applyFont="1" applyFill="1" applyBorder="1" applyProtection="1"/>
    <xf numFmtId="0" fontId="11" fillId="7" borderId="22" xfId="1" applyFont="1" applyFill="1" applyBorder="1" applyProtection="1"/>
    <xf numFmtId="0" fontId="19" fillId="10" borderId="22" xfId="1" applyFont="1" applyFill="1" applyBorder="1" applyProtection="1"/>
    <xf numFmtId="0" fontId="1" fillId="7" borderId="22" xfId="1" applyFill="1" applyBorder="1" applyProtection="1"/>
    <xf numFmtId="167" fontId="0" fillId="7" borderId="20" xfId="3" applyNumberFormat="1" applyFont="1" applyFill="1" applyBorder="1" applyAlignment="1" applyProtection="1"/>
    <xf numFmtId="167" fontId="11" fillId="7" borderId="28" xfId="1" applyNumberFormat="1" applyFont="1" applyFill="1" applyBorder="1" applyProtection="1"/>
    <xf numFmtId="167" fontId="11" fillId="7" borderId="24" xfId="3" applyNumberFormat="1" applyFont="1" applyFill="1" applyBorder="1" applyProtection="1"/>
    <xf numFmtId="0" fontId="1" fillId="7" borderId="0" xfId="1" applyFill="1" applyAlignment="1" applyProtection="1">
      <protection locked="0"/>
    </xf>
    <xf numFmtId="0" fontId="12" fillId="7" borderId="2" xfId="1" applyFont="1" applyFill="1" applyBorder="1" applyAlignment="1" applyProtection="1">
      <protection locked="0"/>
    </xf>
    <xf numFmtId="0" fontId="1" fillId="7" borderId="0" xfId="1" applyFill="1" applyProtection="1">
      <protection locked="0" hidden="1"/>
    </xf>
    <xf numFmtId="0" fontId="2" fillId="7" borderId="0" xfId="1" applyFont="1" applyFill="1" applyAlignment="1" applyProtection="1">
      <alignment vertical="center"/>
      <protection locked="0" hidden="1"/>
    </xf>
    <xf numFmtId="0" fontId="1" fillId="7" borderId="0" xfId="1" applyFill="1" applyAlignment="1" applyProtection="1">
      <protection locked="0" hidden="1"/>
    </xf>
    <xf numFmtId="0" fontId="12" fillId="7" borderId="2" xfId="1" applyFont="1" applyFill="1" applyBorder="1" applyAlignment="1" applyProtection="1">
      <protection locked="0" hidden="1"/>
    </xf>
    <xf numFmtId="0" fontId="1" fillId="6" borderId="0" xfId="1" applyFill="1" applyProtection="1">
      <protection locked="0" hidden="1"/>
    </xf>
    <xf numFmtId="1" fontId="1" fillId="6" borderId="0" xfId="1" applyNumberFormat="1" applyFill="1" applyProtection="1">
      <protection locked="0" hidden="1"/>
    </xf>
    <xf numFmtId="1" fontId="1" fillId="0" borderId="0" xfId="1" applyNumberFormat="1" applyProtection="1">
      <protection locked="0" hidden="1"/>
    </xf>
    <xf numFmtId="1" fontId="13" fillId="8" borderId="0" xfId="1" applyNumberFormat="1" applyFont="1" applyFill="1" applyProtection="1">
      <protection locked="0" hidden="1"/>
    </xf>
    <xf numFmtId="0" fontId="1" fillId="0" borderId="0" xfId="1" applyProtection="1">
      <protection locked="0" hidden="1"/>
    </xf>
    <xf numFmtId="0" fontId="11" fillId="0" borderId="0" xfId="1" applyFont="1" applyProtection="1">
      <protection locked="0" hidden="1"/>
    </xf>
    <xf numFmtId="0" fontId="11" fillId="7" borderId="0" xfId="1" applyFont="1" applyFill="1" applyProtection="1">
      <protection locked="0" hidden="1"/>
    </xf>
    <xf numFmtId="1" fontId="11" fillId="7" borderId="0" xfId="1" applyNumberFormat="1" applyFont="1" applyFill="1" applyAlignment="1" applyProtection="1">
      <alignment horizontal="center"/>
      <protection locked="0" hidden="1"/>
    </xf>
    <xf numFmtId="0" fontId="1" fillId="9" borderId="0" xfId="1" applyFill="1" applyProtection="1">
      <protection locked="0" hidden="1"/>
    </xf>
    <xf numFmtId="1" fontId="11" fillId="10" borderId="0" xfId="1" applyNumberFormat="1" applyFont="1" applyFill="1" applyAlignment="1" applyProtection="1">
      <alignment horizontal="center"/>
      <protection locked="0" hidden="1"/>
    </xf>
    <xf numFmtId="1" fontId="11" fillId="7" borderId="0" xfId="1" applyNumberFormat="1" applyFont="1" applyFill="1" applyProtection="1">
      <protection locked="0" hidden="1"/>
    </xf>
    <xf numFmtId="167" fontId="11" fillId="7" borderId="0" xfId="1" applyNumberFormat="1" applyFont="1" applyFill="1" applyProtection="1">
      <protection locked="0" hidden="1"/>
    </xf>
    <xf numFmtId="1" fontId="1" fillId="7" borderId="0" xfId="1" applyNumberFormat="1" applyFill="1" applyProtection="1">
      <protection locked="0" hidden="1"/>
    </xf>
    <xf numFmtId="0" fontId="1" fillId="7" borderId="0" xfId="1" applyFill="1" applyAlignment="1" applyProtection="1">
      <alignment horizontal="center"/>
      <protection locked="0" hidden="1"/>
    </xf>
    <xf numFmtId="0" fontId="13" fillId="7" borderId="2" xfId="1" applyFont="1" applyFill="1" applyBorder="1" applyAlignment="1" applyProtection="1">
      <alignment horizontal="center"/>
      <protection locked="0" hidden="1"/>
    </xf>
    <xf numFmtId="0" fontId="13" fillId="6" borderId="0" xfId="1" applyFont="1" applyFill="1" applyAlignment="1" applyProtection="1">
      <alignment horizontal="center"/>
      <protection locked="0" hidden="1"/>
    </xf>
    <xf numFmtId="1" fontId="13" fillId="2" borderId="0" xfId="1" applyNumberFormat="1" applyFont="1" applyFill="1" applyAlignment="1" applyProtection="1">
      <alignment horizontal="center"/>
      <protection locked="0" hidden="1"/>
    </xf>
    <xf numFmtId="0" fontId="1" fillId="7" borderId="0" xfId="1" applyFill="1" applyProtection="1">
      <protection hidden="1"/>
    </xf>
    <xf numFmtId="0" fontId="18" fillId="4" borderId="17" xfId="1" applyFont="1" applyFill="1" applyBorder="1" applyAlignment="1" applyProtection="1">
      <alignment horizontal="center"/>
      <protection hidden="1"/>
    </xf>
    <xf numFmtId="0" fontId="11" fillId="7" borderId="19" xfId="1" applyFont="1" applyFill="1" applyBorder="1" applyAlignment="1" applyProtection="1">
      <alignment horizontal="center"/>
      <protection hidden="1"/>
    </xf>
    <xf numFmtId="169" fontId="11" fillId="10" borderId="19" xfId="1" applyNumberFormat="1" applyFont="1" applyFill="1" applyBorder="1" applyAlignment="1" applyProtection="1">
      <alignment horizontal="center"/>
      <protection hidden="1"/>
    </xf>
    <xf numFmtId="166" fontId="11" fillId="7" borderId="19" xfId="1" applyNumberFormat="1" applyFont="1" applyFill="1" applyBorder="1" applyAlignment="1" applyProtection="1">
      <alignment horizontal="center"/>
      <protection hidden="1"/>
    </xf>
    <xf numFmtId="174" fontId="11" fillId="7" borderId="19" xfId="2" applyNumberFormat="1" applyFont="1" applyFill="1" applyBorder="1" applyAlignment="1" applyProtection="1">
      <protection hidden="1"/>
    </xf>
    <xf numFmtId="174" fontId="11" fillId="7" borderId="19" xfId="2" applyNumberFormat="1" applyFont="1" applyFill="1" applyBorder="1" applyAlignment="1" applyProtection="1">
      <alignment horizontal="center"/>
      <protection hidden="1"/>
    </xf>
    <xf numFmtId="168" fontId="11" fillId="7" borderId="19" xfId="1" applyNumberFormat="1" applyFont="1" applyFill="1" applyBorder="1" applyAlignment="1" applyProtection="1">
      <alignment horizontal="center"/>
      <protection hidden="1"/>
    </xf>
    <xf numFmtId="2" fontId="11" fillId="10" borderId="19" xfId="1" applyNumberFormat="1" applyFont="1" applyFill="1" applyBorder="1" applyAlignment="1" applyProtection="1">
      <alignment horizontal="center"/>
      <protection hidden="1"/>
    </xf>
    <xf numFmtId="165" fontId="11" fillId="7" borderId="19" xfId="1" applyNumberFormat="1" applyFont="1" applyFill="1" applyBorder="1" applyAlignment="1" applyProtection="1">
      <alignment horizontal="center"/>
      <protection hidden="1"/>
    </xf>
    <xf numFmtId="0" fontId="1" fillId="7" borderId="19" xfId="1" applyFill="1" applyBorder="1" applyAlignment="1" applyProtection="1">
      <alignment horizontal="center"/>
      <protection hidden="1"/>
    </xf>
    <xf numFmtId="0" fontId="1" fillId="7" borderId="23" xfId="1" applyFill="1" applyBorder="1" applyAlignment="1" applyProtection="1">
      <alignment horizontal="center"/>
      <protection hidden="1"/>
    </xf>
    <xf numFmtId="0" fontId="2" fillId="7" borderId="0" xfId="1" applyFont="1" applyFill="1" applyAlignment="1" applyProtection="1">
      <alignment horizontal="center"/>
      <protection locked="0" hidden="1"/>
    </xf>
    <xf numFmtId="0" fontId="10" fillId="7" borderId="0" xfId="1" applyFont="1" applyFill="1" applyAlignment="1" applyProtection="1">
      <alignment horizontal="center"/>
      <protection locked="0" hidden="1"/>
    </xf>
    <xf numFmtId="0" fontId="14" fillId="7" borderId="2" xfId="1" applyFont="1" applyFill="1" applyBorder="1" applyAlignment="1" applyProtection="1">
      <alignment horizontal="center"/>
      <protection locked="0" hidden="1"/>
    </xf>
    <xf numFmtId="0" fontId="1" fillId="6" borderId="0" xfId="1" applyFill="1" applyAlignment="1" applyProtection="1">
      <alignment horizontal="center"/>
      <protection locked="0" hidden="1"/>
    </xf>
    <xf numFmtId="1" fontId="1" fillId="0" borderId="0" xfId="1" applyNumberFormat="1" applyAlignment="1" applyProtection="1">
      <alignment horizontal="center"/>
      <protection locked="0" hidden="1"/>
    </xf>
    <xf numFmtId="169" fontId="11" fillId="14" borderId="19" xfId="1" applyNumberFormat="1" applyFont="1" applyFill="1" applyBorder="1" applyAlignment="1" applyProtection="1">
      <alignment horizontal="center"/>
      <protection hidden="1"/>
    </xf>
    <xf numFmtId="1" fontId="16" fillId="2" borderId="0" xfId="1" applyNumberFormat="1" applyFont="1" applyFill="1" applyAlignment="1" applyProtection="1">
      <alignment horizontal="center"/>
      <protection locked="0" hidden="1"/>
    </xf>
    <xf numFmtId="167" fontId="7" fillId="7" borderId="0" xfId="3" applyNumberFormat="1" applyFont="1" applyFill="1" applyAlignment="1" applyProtection="1">
      <alignment vertical="center"/>
      <protection locked="0" hidden="1"/>
    </xf>
    <xf numFmtId="167" fontId="7" fillId="7" borderId="0" xfId="3" applyNumberFormat="1" applyFont="1" applyFill="1" applyBorder="1" applyAlignment="1" applyProtection="1">
      <alignment vertical="center"/>
      <protection locked="0" hidden="1"/>
    </xf>
    <xf numFmtId="0" fontId="11" fillId="7" borderId="0" xfId="1" applyFont="1" applyFill="1" applyAlignment="1" applyProtection="1">
      <alignment vertical="center"/>
      <protection locked="0" hidden="1"/>
    </xf>
    <xf numFmtId="0" fontId="12" fillId="7" borderId="0" xfId="1" applyFont="1" applyFill="1" applyProtection="1">
      <protection locked="0" hidden="1"/>
    </xf>
    <xf numFmtId="0" fontId="7" fillId="7" borderId="0" xfId="1" applyFont="1" applyFill="1" applyAlignment="1" applyProtection="1">
      <alignment horizontal="center" vertical="center"/>
      <protection locked="0" hidden="1"/>
    </xf>
    <xf numFmtId="0" fontId="15" fillId="7" borderId="2" xfId="1" applyFont="1" applyFill="1" applyBorder="1" applyAlignment="1" applyProtection="1">
      <alignment horizontal="center"/>
      <protection locked="0" hidden="1"/>
    </xf>
    <xf numFmtId="0" fontId="37" fillId="7" borderId="0" xfId="4" applyFont="1" applyFill="1"/>
    <xf numFmtId="0" fontId="12" fillId="7" borderId="0" xfId="4" applyFill="1"/>
    <xf numFmtId="176" fontId="12" fillId="7" borderId="0" xfId="4" applyNumberFormat="1" applyFill="1" applyAlignment="1">
      <alignment vertical="center"/>
    </xf>
    <xf numFmtId="14" fontId="12" fillId="7" borderId="0" xfId="4" applyNumberFormat="1" applyFill="1"/>
    <xf numFmtId="49" fontId="12" fillId="7" borderId="0" xfId="4" applyNumberFormat="1" applyFill="1"/>
    <xf numFmtId="20" fontId="12" fillId="7" borderId="0" xfId="4" applyNumberFormat="1" applyFill="1" applyAlignment="1">
      <alignment vertical="center"/>
    </xf>
    <xf numFmtId="0" fontId="12" fillId="7" borderId="29" xfId="4" applyFill="1" applyBorder="1" applyAlignment="1">
      <alignment vertical="center"/>
    </xf>
    <xf numFmtId="0" fontId="1" fillId="0" borderId="0" xfId="1"/>
    <xf numFmtId="0" fontId="0" fillId="7" borderId="57" xfId="0" applyFont="1" applyFill="1" applyBorder="1"/>
    <xf numFmtId="0" fontId="47" fillId="7" borderId="57" xfId="0" applyFont="1" applyFill="1" applyBorder="1"/>
    <xf numFmtId="0" fontId="0" fillId="7" borderId="58" xfId="0" applyFont="1" applyFill="1" applyBorder="1"/>
    <xf numFmtId="0" fontId="47" fillId="7" borderId="58" xfId="0" applyFont="1" applyFill="1" applyBorder="1"/>
    <xf numFmtId="0" fontId="0" fillId="7" borderId="60" xfId="0" applyFont="1" applyFill="1" applyBorder="1"/>
    <xf numFmtId="0" fontId="47" fillId="7" borderId="60" xfId="0" applyFont="1" applyFill="1" applyBorder="1"/>
    <xf numFmtId="0" fontId="0" fillId="7" borderId="59" xfId="0" applyFont="1" applyFill="1" applyBorder="1"/>
    <xf numFmtId="0" fontId="0" fillId="7" borderId="44" xfId="0" applyFont="1" applyFill="1" applyBorder="1"/>
    <xf numFmtId="0" fontId="47" fillId="7" borderId="38" xfId="0" applyFont="1" applyFill="1" applyBorder="1"/>
    <xf numFmtId="0" fontId="47" fillId="7" borderId="59" xfId="0" applyFont="1" applyFill="1" applyBorder="1"/>
    <xf numFmtId="174" fontId="0" fillId="7" borderId="57" xfId="0" applyNumberFormat="1" applyFont="1" applyFill="1" applyBorder="1"/>
    <xf numFmtId="174" fontId="0" fillId="7" borderId="58" xfId="0" applyNumberFormat="1" applyFont="1" applyFill="1" applyBorder="1"/>
    <xf numFmtId="174" fontId="0" fillId="7" borderId="60" xfId="0" applyNumberFormat="1" applyFont="1" applyFill="1" applyBorder="1"/>
    <xf numFmtId="0" fontId="1" fillId="0" borderId="0" xfId="1"/>
    <xf numFmtId="0" fontId="49" fillId="0" borderId="65" xfId="1" applyFont="1" applyBorder="1" applyAlignment="1">
      <alignment horizontal="right"/>
    </xf>
    <xf numFmtId="0" fontId="2" fillId="0" borderId="0" xfId="1" applyFont="1" applyAlignment="1">
      <alignment horizontal="left"/>
    </xf>
    <xf numFmtId="0" fontId="50" fillId="0" borderId="66" xfId="1" applyFont="1" applyBorder="1"/>
    <xf numFmtId="0" fontId="49" fillId="0" borderId="66" xfId="1" applyFont="1" applyBorder="1"/>
    <xf numFmtId="0" fontId="49" fillId="0" borderId="0" xfId="1" applyFont="1"/>
    <xf numFmtId="0" fontId="49" fillId="0" borderId="0" xfId="1" applyFont="1" applyAlignment="1">
      <alignment horizontal="center"/>
    </xf>
    <xf numFmtId="0" fontId="49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49" fillId="0" borderId="67" xfId="1" applyFont="1" applyBorder="1" applyAlignment="1">
      <alignment horizontal="right"/>
    </xf>
    <xf numFmtId="0" fontId="49" fillId="0" borderId="68" xfId="1" applyFont="1" applyBorder="1"/>
    <xf numFmtId="0" fontId="51" fillId="0" borderId="0" xfId="1" applyFont="1"/>
    <xf numFmtId="0" fontId="52" fillId="2" borderId="0" xfId="1" applyFont="1" applyFill="1"/>
    <xf numFmtId="0" fontId="51" fillId="0" borderId="69" xfId="1" applyFont="1" applyBorder="1"/>
    <xf numFmtId="0" fontId="51" fillId="0" borderId="66" xfId="1" applyFont="1" applyBorder="1"/>
    <xf numFmtId="0" fontId="2" fillId="0" borderId="66" xfId="1" applyFont="1" applyBorder="1"/>
    <xf numFmtId="0" fontId="2" fillId="0" borderId="70" xfId="1" applyFont="1" applyBorder="1"/>
    <xf numFmtId="0" fontId="49" fillId="2" borderId="0" xfId="1" applyFont="1" applyFill="1"/>
    <xf numFmtId="0" fontId="2" fillId="0" borderId="71" xfId="1" applyFont="1" applyBorder="1"/>
    <xf numFmtId="0" fontId="2" fillId="0" borderId="68" xfId="1" applyFont="1" applyBorder="1"/>
    <xf numFmtId="0" fontId="49" fillId="0" borderId="72" xfId="1" applyFont="1" applyBorder="1"/>
    <xf numFmtId="0" fontId="49" fillId="0" borderId="72" xfId="1" applyFont="1" applyBorder="1" applyAlignment="1">
      <alignment horizontal="left"/>
    </xf>
    <xf numFmtId="0" fontId="53" fillId="0" borderId="73" xfId="1" applyFont="1" applyBorder="1"/>
    <xf numFmtId="0" fontId="53" fillId="0" borderId="0" xfId="1" applyFont="1"/>
    <xf numFmtId="0" fontId="49" fillId="0" borderId="67" xfId="1" applyFont="1" applyBorder="1"/>
    <xf numFmtId="0" fontId="49" fillId="0" borderId="74" xfId="1" applyFont="1" applyBorder="1" applyAlignment="1">
      <alignment horizontal="right"/>
    </xf>
    <xf numFmtId="0" fontId="53" fillId="0" borderId="74" xfId="1" applyFont="1" applyBorder="1"/>
    <xf numFmtId="0" fontId="49" fillId="0" borderId="74" xfId="1" applyFont="1" applyBorder="1"/>
    <xf numFmtId="0" fontId="49" fillId="0" borderId="68" xfId="1" applyFont="1" applyBorder="1" applyAlignment="1">
      <alignment horizontal="left"/>
    </xf>
    <xf numFmtId="10" fontId="49" fillId="0" borderId="0" xfId="1" applyNumberFormat="1" applyFont="1" applyAlignment="1">
      <alignment horizontal="right"/>
    </xf>
    <xf numFmtId="0" fontId="49" fillId="0" borderId="73" xfId="1" applyFont="1" applyBorder="1"/>
    <xf numFmtId="0" fontId="49" fillId="0" borderId="75" xfId="1" applyFont="1" applyBorder="1" applyAlignment="1">
      <alignment horizontal="left"/>
    </xf>
    <xf numFmtId="1" fontId="49" fillId="0" borderId="73" xfId="1" applyNumberFormat="1" applyFont="1" applyBorder="1" applyAlignment="1">
      <alignment horizontal="right"/>
    </xf>
    <xf numFmtId="0" fontId="53" fillId="0" borderId="74" xfId="1" applyFont="1" applyBorder="1" applyAlignment="1">
      <alignment horizontal="right"/>
    </xf>
    <xf numFmtId="4" fontId="49" fillId="0" borderId="0" xfId="1" applyNumberFormat="1" applyFont="1" applyAlignment="1">
      <alignment horizontal="center"/>
    </xf>
    <xf numFmtId="0" fontId="2" fillId="0" borderId="76" xfId="1" applyFont="1" applyBorder="1"/>
    <xf numFmtId="0" fontId="51" fillId="0" borderId="74" xfId="1" applyFont="1" applyBorder="1"/>
    <xf numFmtId="0" fontId="2" fillId="0" borderId="74" xfId="1" applyFont="1" applyBorder="1"/>
    <xf numFmtId="0" fontId="2" fillId="0" borderId="72" xfId="1" applyFont="1" applyBorder="1"/>
    <xf numFmtId="0" fontId="49" fillId="0" borderId="76" xfId="1" applyFont="1" applyBorder="1" applyAlignment="1">
      <alignment horizontal="right"/>
    </xf>
    <xf numFmtId="0" fontId="53" fillId="0" borderId="0" xfId="1" applyFont="1" applyAlignment="1">
      <alignment horizontal="right"/>
    </xf>
    <xf numFmtId="4" fontId="49" fillId="0" borderId="74" xfId="1" applyNumberFormat="1" applyFont="1" applyBorder="1" applyAlignment="1">
      <alignment horizontal="right"/>
    </xf>
    <xf numFmtId="0" fontId="49" fillId="0" borderId="0" xfId="1" applyFont="1" applyAlignment="1">
      <alignment horizontal="right"/>
    </xf>
    <xf numFmtId="0" fontId="49" fillId="0" borderId="77" xfId="1" applyFont="1" applyBorder="1" applyAlignment="1">
      <alignment horizontal="right"/>
    </xf>
    <xf numFmtId="4" fontId="53" fillId="0" borderId="74" xfId="1" applyNumberFormat="1" applyFont="1" applyBorder="1" applyAlignment="1">
      <alignment horizontal="right"/>
    </xf>
    <xf numFmtId="9" fontId="49" fillId="0" borderId="0" xfId="1" applyNumberFormat="1" applyFont="1" applyAlignment="1">
      <alignment horizontal="center"/>
    </xf>
    <xf numFmtId="0" fontId="49" fillId="0" borderId="74" xfId="1" applyFont="1" applyBorder="1" applyAlignment="1">
      <alignment horizontal="left"/>
    </xf>
    <xf numFmtId="0" fontId="49" fillId="0" borderId="74" xfId="1" applyFont="1" applyBorder="1" applyAlignment="1">
      <alignment horizontal="center"/>
    </xf>
    <xf numFmtId="0" fontId="49" fillId="0" borderId="68" xfId="1" applyFont="1" applyBorder="1" applyAlignment="1">
      <alignment horizontal="center"/>
    </xf>
    <xf numFmtId="0" fontId="49" fillId="0" borderId="72" xfId="1" applyFont="1" applyBorder="1" applyAlignment="1">
      <alignment horizontal="center"/>
    </xf>
    <xf numFmtId="0" fontId="49" fillId="0" borderId="75" xfId="1" applyFont="1" applyBorder="1" applyAlignment="1">
      <alignment horizontal="center"/>
    </xf>
    <xf numFmtId="0" fontId="49" fillId="0" borderId="70" xfId="1" applyFont="1" applyBorder="1" applyAlignment="1">
      <alignment horizontal="center"/>
    </xf>
    <xf numFmtId="0" fontId="49" fillId="0" borderId="75" xfId="1" applyFont="1" applyBorder="1"/>
    <xf numFmtId="0" fontId="49" fillId="0" borderId="65" xfId="1" applyFont="1" applyBorder="1" applyAlignment="1">
      <alignment horizontal="center"/>
    </xf>
    <xf numFmtId="0" fontId="55" fillId="0" borderId="0" xfId="1" applyFont="1"/>
    <xf numFmtId="4" fontId="49" fillId="0" borderId="72" xfId="1" applyNumberFormat="1" applyFont="1" applyBorder="1" applyAlignment="1">
      <alignment horizontal="center"/>
    </xf>
    <xf numFmtId="0" fontId="49" fillId="0" borderId="67" xfId="1" applyFont="1" applyBorder="1" applyAlignment="1">
      <alignment horizontal="center"/>
    </xf>
    <xf numFmtId="0" fontId="51" fillId="0" borderId="71" xfId="1" applyFont="1" applyBorder="1"/>
    <xf numFmtId="0" fontId="51" fillId="0" borderId="68" xfId="1" applyFont="1" applyBorder="1"/>
    <xf numFmtId="4" fontId="56" fillId="0" borderId="65" xfId="1" applyNumberFormat="1" applyFont="1" applyBorder="1" applyAlignment="1">
      <alignment horizontal="center" vertical="center"/>
    </xf>
    <xf numFmtId="177" fontId="56" fillId="0" borderId="65" xfId="1" applyNumberFormat="1" applyFont="1" applyBorder="1" applyAlignment="1">
      <alignment horizontal="center" vertical="center"/>
    </xf>
    <xf numFmtId="9" fontId="2" fillId="0" borderId="0" xfId="1" applyNumberFormat="1" applyFont="1" applyAlignment="1">
      <alignment horizontal="right"/>
    </xf>
    <xf numFmtId="9" fontId="2" fillId="15" borderId="74" xfId="1" applyNumberFormat="1" applyFont="1" applyFill="1" applyBorder="1" applyAlignment="1">
      <alignment horizontal="right"/>
    </xf>
    <xf numFmtId="4" fontId="56" fillId="0" borderId="75" xfId="1" applyNumberFormat="1" applyFont="1" applyBorder="1" applyAlignment="1">
      <alignment horizontal="center" vertical="center"/>
    </xf>
    <xf numFmtId="0" fontId="57" fillId="0" borderId="72" xfId="1" applyFont="1" applyBorder="1"/>
    <xf numFmtId="0" fontId="58" fillId="0" borderId="0" xfId="1" applyFont="1"/>
    <xf numFmtId="0" fontId="56" fillId="0" borderId="0" xfId="1" applyFont="1" applyAlignment="1">
      <alignment horizontal="center" vertical="center" wrapText="1"/>
    </xf>
    <xf numFmtId="9" fontId="4" fillId="0" borderId="0" xfId="1" applyNumberFormat="1" applyFont="1"/>
    <xf numFmtId="0" fontId="4" fillId="0" borderId="0" xfId="1" applyFont="1" applyAlignment="1">
      <alignment wrapText="1"/>
    </xf>
    <xf numFmtId="0" fontId="7" fillId="0" borderId="0" xfId="1" applyFont="1" applyAlignment="1">
      <alignment horizontal="left" vertical="center" wrapText="1"/>
    </xf>
    <xf numFmtId="2" fontId="4" fillId="0" borderId="0" xfId="1" applyNumberFormat="1" applyFont="1"/>
    <xf numFmtId="0" fontId="58" fillId="15" borderId="0" xfId="1" applyFont="1" applyFill="1"/>
    <xf numFmtId="9" fontId="13" fillId="15" borderId="0" xfId="1" applyNumberFormat="1" applyFont="1" applyFill="1"/>
    <xf numFmtId="11" fontId="13" fillId="15" borderId="0" xfId="1" applyNumberFormat="1" applyFont="1" applyFill="1"/>
    <xf numFmtId="9" fontId="13" fillId="16" borderId="0" xfId="1" applyNumberFormat="1" applyFont="1" applyFill="1"/>
    <xf numFmtId="178" fontId="13" fillId="15" borderId="0" xfId="1" applyNumberFormat="1" applyFont="1" applyFill="1"/>
    <xf numFmtId="2" fontId="13" fillId="15" borderId="74" xfId="1" applyNumberFormat="1" applyFont="1" applyFill="1" applyBorder="1"/>
    <xf numFmtId="4" fontId="56" fillId="0" borderId="0" xfId="1" applyNumberFormat="1" applyFont="1" applyAlignment="1">
      <alignment horizontal="center" vertical="center"/>
    </xf>
    <xf numFmtId="0" fontId="59" fillId="0" borderId="0" xfId="1" applyFont="1" applyAlignment="1">
      <alignment horizontal="center"/>
    </xf>
    <xf numFmtId="0" fontId="4" fillId="0" borderId="0" xfId="1" applyFont="1"/>
    <xf numFmtId="0" fontId="53" fillId="0" borderId="0" xfId="1" applyFont="1" applyAlignment="1">
      <alignment horizontal="center"/>
    </xf>
    <xf numFmtId="0" fontId="53" fillId="0" borderId="0" xfId="1" applyFont="1" applyAlignment="1">
      <alignment horizontal="left"/>
    </xf>
    <xf numFmtId="0" fontId="11" fillId="0" borderId="0" xfId="1" applyFont="1" applyFill="1"/>
    <xf numFmtId="0" fontId="23" fillId="0" borderId="0" xfId="1" applyFont="1" applyFill="1"/>
    <xf numFmtId="0" fontId="11" fillId="0" borderId="0" xfId="0" applyFont="1" applyAlignment="1">
      <alignment horizontal="center"/>
    </xf>
    <xf numFmtId="1" fontId="11" fillId="7" borderId="0" xfId="1" applyNumberFormat="1" applyFont="1" applyFill="1"/>
    <xf numFmtId="1" fontId="11" fillId="5" borderId="0" xfId="1" applyNumberFormat="1" applyFont="1" applyFill="1"/>
    <xf numFmtId="1" fontId="1" fillId="0" borderId="0" xfId="1" applyNumberFormat="1"/>
    <xf numFmtId="172" fontId="26" fillId="3" borderId="0" xfId="1" applyNumberFormat="1" applyFont="1" applyFill="1" applyBorder="1"/>
    <xf numFmtId="179" fontId="6" fillId="3" borderId="1" xfId="1" applyNumberFormat="1" applyFont="1" applyFill="1" applyBorder="1" applyAlignment="1">
      <alignment vertical="center"/>
    </xf>
    <xf numFmtId="166" fontId="11" fillId="5" borderId="0" xfId="1" applyNumberFormat="1" applyFont="1" applyFill="1"/>
    <xf numFmtId="166" fontId="6" fillId="3" borderId="9" xfId="1" applyNumberFormat="1" applyFont="1" applyFill="1" applyBorder="1" applyAlignment="1">
      <alignment horizontal="right"/>
    </xf>
    <xf numFmtId="166" fontId="6" fillId="3" borderId="10" xfId="1" applyNumberFormat="1" applyFont="1" applyFill="1" applyBorder="1" applyAlignment="1">
      <alignment horizontal="right"/>
    </xf>
    <xf numFmtId="166" fontId="6" fillId="3" borderId="11" xfId="1" applyNumberFormat="1" applyFont="1" applyFill="1" applyBorder="1" applyAlignment="1">
      <alignment horizontal="right"/>
    </xf>
    <xf numFmtId="166" fontId="6" fillId="3" borderId="78" xfId="1" applyNumberFormat="1" applyFont="1" applyFill="1" applyBorder="1" applyAlignment="1">
      <alignment horizontal="right"/>
    </xf>
    <xf numFmtId="1" fontId="6" fillId="3" borderId="1" xfId="1" applyNumberFormat="1" applyFont="1" applyFill="1" applyBorder="1" applyAlignment="1">
      <alignment vertical="center"/>
    </xf>
    <xf numFmtId="1" fontId="6" fillId="3" borderId="9" xfId="1" applyNumberFormat="1" applyFont="1" applyFill="1" applyBorder="1" applyAlignment="1">
      <alignment horizontal="right"/>
    </xf>
    <xf numFmtId="1" fontId="6" fillId="3" borderId="10" xfId="1" applyNumberFormat="1" applyFont="1" applyFill="1" applyBorder="1" applyAlignment="1">
      <alignment horizontal="right"/>
    </xf>
    <xf numFmtId="166" fontId="6" fillId="3" borderId="0" xfId="1" applyNumberFormat="1" applyFont="1" applyFill="1" applyAlignment="1">
      <alignment vertical="center"/>
    </xf>
    <xf numFmtId="166" fontId="14" fillId="3" borderId="0" xfId="1" applyNumberFormat="1" applyFont="1" applyFill="1"/>
    <xf numFmtId="166" fontId="14" fillId="3" borderId="9" xfId="1" applyNumberFormat="1" applyFont="1" applyFill="1" applyBorder="1"/>
    <xf numFmtId="166" fontId="14" fillId="3" borderId="10" xfId="1" applyNumberFormat="1" applyFont="1" applyFill="1" applyBorder="1"/>
    <xf numFmtId="166" fontId="20" fillId="3" borderId="1" xfId="1" applyNumberFormat="1" applyFont="1" applyFill="1" applyBorder="1" applyAlignment="1">
      <alignment vertical="center"/>
    </xf>
    <xf numFmtId="166" fontId="14" fillId="3" borderId="11" xfId="1" applyNumberFormat="1" applyFont="1" applyFill="1" applyBorder="1"/>
    <xf numFmtId="166" fontId="21" fillId="3" borderId="1" xfId="1" applyNumberFormat="1" applyFont="1" applyFill="1" applyBorder="1" applyAlignment="1">
      <alignment vertical="center"/>
    </xf>
    <xf numFmtId="166" fontId="11" fillId="5" borderId="11" xfId="1" applyNumberFormat="1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 vertical="center"/>
    </xf>
    <xf numFmtId="9" fontId="6" fillId="3" borderId="1" xfId="6" applyFont="1" applyFill="1" applyBorder="1" applyAlignment="1">
      <alignment vertical="center"/>
    </xf>
    <xf numFmtId="1" fontId="11" fillId="0" borderId="0" xfId="0" applyNumberFormat="1" applyFont="1"/>
    <xf numFmtId="1" fontId="21" fillId="2" borderId="1" xfId="2" applyNumberFormat="1" applyFont="1" applyFill="1" applyBorder="1" applyAlignment="1">
      <alignment vertical="center"/>
    </xf>
    <xf numFmtId="1" fontId="0" fillId="0" borderId="0" xfId="0" applyNumberFormat="1"/>
    <xf numFmtId="166" fontId="6" fillId="3" borderId="13" xfId="1" applyNumberFormat="1" applyFont="1" applyFill="1" applyBorder="1" applyAlignment="1">
      <alignment vertical="center"/>
    </xf>
    <xf numFmtId="1" fontId="11" fillId="0" borderId="0" xfId="1" applyNumberFormat="1" applyFont="1" applyAlignment="1">
      <alignment horizontal="center"/>
    </xf>
    <xf numFmtId="173" fontId="11" fillId="7" borderId="0" xfId="1" applyNumberFormat="1" applyFont="1" applyFill="1"/>
    <xf numFmtId="173" fontId="11" fillId="0" borderId="0" xfId="1" applyNumberFormat="1" applyFont="1" applyAlignment="1">
      <alignment horizontal="center"/>
    </xf>
    <xf numFmtId="173" fontId="6" fillId="3" borderId="9" xfId="1" applyNumberFormat="1" applyFont="1" applyFill="1" applyBorder="1" applyAlignment="1">
      <alignment horizontal="right"/>
    </xf>
    <xf numFmtId="173" fontId="1" fillId="0" borderId="0" xfId="1" applyNumberFormat="1"/>
    <xf numFmtId="0" fontId="12" fillId="7" borderId="19" xfId="5" applyFont="1" applyFill="1" applyBorder="1" applyAlignment="1">
      <alignment horizontal="left" vertical="top"/>
    </xf>
    <xf numFmtId="0" fontId="0" fillId="7" borderId="19" xfId="0" applyFill="1" applyBorder="1"/>
    <xf numFmtId="0" fontId="0" fillId="7" borderId="0" xfId="0" applyFill="1" applyBorder="1"/>
    <xf numFmtId="0" fontId="24" fillId="7" borderId="0" xfId="0" applyFont="1" applyFill="1" applyBorder="1"/>
    <xf numFmtId="0" fontId="47" fillId="7" borderId="0" xfId="0" applyFont="1" applyFill="1" applyBorder="1"/>
    <xf numFmtId="174" fontId="0" fillId="7" borderId="0" xfId="0" applyNumberFormat="1" applyFont="1" applyFill="1" applyBorder="1"/>
    <xf numFmtId="0" fontId="46" fillId="7" borderId="0" xfId="0" applyFont="1" applyFill="1" applyBorder="1" applyAlignment="1"/>
    <xf numFmtId="0" fontId="60" fillId="7" borderId="0" xfId="0" applyFont="1" applyFill="1"/>
    <xf numFmtId="174" fontId="11" fillId="5" borderId="0" xfId="7" applyNumberFormat="1" applyFont="1" applyFill="1" applyAlignment="1">
      <alignment horizontal="center"/>
    </xf>
    <xf numFmtId="174" fontId="19" fillId="5" borderId="0" xfId="7" applyNumberFormat="1" applyFont="1" applyFill="1"/>
    <xf numFmtId="174" fontId="11" fillId="5" borderId="0" xfId="7" applyNumberFormat="1" applyFont="1" applyFill="1"/>
    <xf numFmtId="174" fontId="1" fillId="0" borderId="0" xfId="7" applyNumberFormat="1" applyFont="1"/>
    <xf numFmtId="0" fontId="0" fillId="7" borderId="25" xfId="0" applyFill="1" applyBorder="1"/>
    <xf numFmtId="0" fontId="0" fillId="7" borderId="23" xfId="0" applyFill="1" applyBorder="1"/>
    <xf numFmtId="0" fontId="1" fillId="17" borderId="0" xfId="1" applyFill="1" applyProtection="1">
      <protection locked="0" hidden="1"/>
    </xf>
    <xf numFmtId="1" fontId="1" fillId="17" borderId="0" xfId="1" applyNumberFormat="1" applyFill="1" applyProtection="1">
      <protection locked="0" hidden="1"/>
    </xf>
    <xf numFmtId="1" fontId="11" fillId="17" borderId="0" xfId="1" applyNumberFormat="1" applyFont="1" applyFill="1" applyProtection="1">
      <protection locked="0" hidden="1"/>
    </xf>
    <xf numFmtId="0" fontId="11" fillId="17" borderId="0" xfId="1" applyFont="1" applyFill="1" applyProtection="1">
      <protection locked="0" hidden="1"/>
    </xf>
    <xf numFmtId="0" fontId="1" fillId="0" borderId="0" xfId="1" applyFill="1"/>
    <xf numFmtId="174" fontId="11" fillId="0" borderId="0" xfId="7" applyNumberFormat="1" applyFont="1" applyFill="1"/>
    <xf numFmtId="0" fontId="12" fillId="7" borderId="0" xfId="5" applyFont="1" applyFill="1" applyBorder="1" applyAlignment="1">
      <alignment horizontal="center" vertical="top"/>
    </xf>
    <xf numFmtId="0" fontId="28" fillId="7" borderId="0" xfId="4" applyFont="1" applyFill="1" applyAlignment="1">
      <alignment horizontal="center" vertical="center"/>
    </xf>
    <xf numFmtId="0" fontId="29" fillId="7" borderId="0" xfId="4" applyFont="1" applyFill="1" applyAlignment="1" applyProtection="1">
      <alignment horizontal="center" vertical="center"/>
      <protection locked="0"/>
    </xf>
    <xf numFmtId="0" fontId="44" fillId="7" borderId="0" xfId="4" applyFont="1" applyFill="1" applyAlignment="1" applyProtection="1">
      <alignment horizontal="center" vertical="center"/>
      <protection locked="0"/>
    </xf>
    <xf numFmtId="0" fontId="12" fillId="7" borderId="0" xfId="4" applyFill="1" applyAlignment="1">
      <alignment horizontal="right" vertical="center"/>
    </xf>
    <xf numFmtId="0" fontId="12" fillId="7" borderId="0" xfId="4" applyFill="1" applyAlignment="1">
      <alignment horizontal="left" vertical="center" wrapText="1"/>
    </xf>
    <xf numFmtId="49" fontId="30" fillId="7" borderId="33" xfId="4" applyNumberFormat="1" applyFont="1" applyFill="1" applyBorder="1" applyAlignment="1" applyProtection="1">
      <alignment horizontal="center" vertical="center"/>
      <protection locked="0"/>
    </xf>
    <xf numFmtId="49" fontId="30" fillId="7" borderId="32" xfId="4" applyNumberFormat="1" applyFont="1" applyFill="1" applyBorder="1" applyAlignment="1" applyProtection="1">
      <alignment horizontal="center" vertical="center"/>
      <protection locked="0"/>
    </xf>
    <xf numFmtId="49" fontId="30" fillId="7" borderId="34" xfId="4" applyNumberFormat="1" applyFont="1" applyFill="1" applyBorder="1" applyAlignment="1" applyProtection="1">
      <alignment horizontal="center" vertical="center"/>
      <protection locked="0"/>
    </xf>
    <xf numFmtId="49" fontId="30" fillId="7" borderId="35" xfId="4" applyNumberFormat="1" applyFont="1" applyFill="1" applyBorder="1" applyAlignment="1" applyProtection="1">
      <alignment horizontal="center" vertical="center"/>
      <protection locked="0"/>
    </xf>
    <xf numFmtId="49" fontId="30" fillId="7" borderId="36" xfId="4" applyNumberFormat="1" applyFont="1" applyFill="1" applyBorder="1" applyAlignment="1" applyProtection="1">
      <alignment horizontal="center" vertical="center"/>
      <protection locked="0"/>
    </xf>
    <xf numFmtId="49" fontId="30" fillId="7" borderId="33" xfId="4" applyNumberFormat="1" applyFont="1" applyFill="1" applyBorder="1" applyAlignment="1" applyProtection="1">
      <alignment horizontal="left" vertical="center"/>
      <protection locked="0"/>
    </xf>
    <xf numFmtId="49" fontId="30" fillId="7" borderId="40" xfId="4" applyNumberFormat="1" applyFont="1" applyFill="1" applyBorder="1" applyAlignment="1" applyProtection="1">
      <alignment horizontal="center" vertical="center"/>
      <protection locked="0"/>
    </xf>
    <xf numFmtId="49" fontId="30" fillId="7" borderId="42" xfId="4" applyNumberFormat="1" applyFont="1" applyFill="1" applyBorder="1" applyAlignment="1" applyProtection="1">
      <alignment horizontal="center" vertical="center"/>
      <protection locked="0"/>
    </xf>
    <xf numFmtId="0" fontId="33" fillId="7" borderId="30" xfId="4" applyFont="1" applyFill="1" applyBorder="1" applyAlignment="1" applyProtection="1">
      <alignment horizontal="center" vertical="center" wrapText="1"/>
      <protection locked="0"/>
    </xf>
    <xf numFmtId="0" fontId="33" fillId="7" borderId="31" xfId="4" applyFont="1" applyFill="1" applyBorder="1" applyAlignment="1" applyProtection="1">
      <alignment horizontal="center" vertical="center" wrapText="1"/>
      <protection locked="0"/>
    </xf>
    <xf numFmtId="0" fontId="33" fillId="7" borderId="0" xfId="4" applyFont="1" applyFill="1" applyBorder="1" applyAlignment="1" applyProtection="1">
      <alignment horizontal="center" vertical="center" wrapText="1"/>
      <protection locked="0"/>
    </xf>
    <xf numFmtId="0" fontId="33" fillId="7" borderId="20" xfId="4" applyFont="1" applyFill="1" applyBorder="1" applyAlignment="1" applyProtection="1">
      <alignment horizontal="center" vertical="center" wrapText="1"/>
      <protection locked="0"/>
    </xf>
    <xf numFmtId="0" fontId="33" fillId="7" borderId="25" xfId="4" applyFont="1" applyFill="1" applyBorder="1" applyAlignment="1" applyProtection="1">
      <alignment horizontal="center" vertical="center" wrapText="1"/>
      <protection locked="0"/>
    </xf>
    <xf numFmtId="0" fontId="33" fillId="7" borderId="24" xfId="4" applyFont="1" applyFill="1" applyBorder="1" applyAlignment="1" applyProtection="1">
      <alignment horizontal="center" vertical="center" wrapText="1"/>
      <protection locked="0"/>
    </xf>
    <xf numFmtId="49" fontId="30" fillId="7" borderId="37" xfId="4" applyNumberFormat="1" applyFont="1" applyFill="1" applyBorder="1" applyAlignment="1" applyProtection="1">
      <alignment horizontal="center" vertical="center"/>
      <protection locked="0"/>
    </xf>
    <xf numFmtId="0" fontId="32" fillId="7" borderId="30" xfId="4" applyFont="1" applyFill="1" applyBorder="1" applyAlignment="1">
      <alignment horizontal="center" vertical="center"/>
    </xf>
    <xf numFmtId="0" fontId="32" fillId="7" borderId="0" xfId="4" applyFont="1" applyFill="1" applyAlignment="1">
      <alignment horizontal="center" vertical="center"/>
    </xf>
    <xf numFmtId="0" fontId="32" fillId="7" borderId="25" xfId="4" applyFont="1" applyFill="1" applyBorder="1" applyAlignment="1">
      <alignment horizontal="center" vertical="center"/>
    </xf>
    <xf numFmtId="0" fontId="31" fillId="7" borderId="29" xfId="4" applyFont="1" applyFill="1" applyBorder="1" applyAlignment="1">
      <alignment horizontal="left" vertical="center"/>
    </xf>
    <xf numFmtId="0" fontId="31" fillId="7" borderId="30" xfId="4" applyFont="1" applyFill="1" applyBorder="1" applyAlignment="1">
      <alignment horizontal="left" vertical="center"/>
    </xf>
    <xf numFmtId="49" fontId="30" fillId="7" borderId="39" xfId="4" applyNumberFormat="1" applyFont="1" applyFill="1" applyBorder="1" applyAlignment="1" applyProtection="1">
      <alignment horizontal="center" vertical="center"/>
      <protection locked="0"/>
    </xf>
    <xf numFmtId="49" fontId="30" fillId="7" borderId="40" xfId="4" quotePrefix="1" applyNumberFormat="1" applyFont="1" applyFill="1" applyBorder="1" applyAlignment="1" applyProtection="1">
      <alignment horizontal="center" vertical="center"/>
      <protection locked="0"/>
    </xf>
    <xf numFmtId="49" fontId="30" fillId="7" borderId="41" xfId="4" applyNumberFormat="1" applyFont="1" applyFill="1" applyBorder="1" applyAlignment="1" applyProtection="1">
      <alignment horizontal="left" vertical="center"/>
      <protection locked="0"/>
    </xf>
    <xf numFmtId="49" fontId="30" fillId="7" borderId="41" xfId="4" applyNumberFormat="1" applyFont="1" applyFill="1" applyBorder="1" applyAlignment="1" applyProtection="1">
      <alignment horizontal="center" vertical="center"/>
      <protection locked="0"/>
    </xf>
    <xf numFmtId="49" fontId="30" fillId="7" borderId="45" xfId="4" applyNumberFormat="1" applyFont="1" applyFill="1" applyBorder="1" applyAlignment="1" applyProtection="1">
      <alignment horizontal="center" vertical="center"/>
      <protection locked="0"/>
    </xf>
    <xf numFmtId="49" fontId="30" fillId="7" borderId="49" xfId="4" applyNumberFormat="1" applyFont="1" applyFill="1" applyBorder="1" applyAlignment="1" applyProtection="1">
      <alignment horizontal="center" vertical="center"/>
      <protection locked="0"/>
    </xf>
    <xf numFmtId="49" fontId="30" fillId="7" borderId="50" xfId="4" applyNumberFormat="1" applyFont="1" applyFill="1" applyBorder="1" applyAlignment="1" applyProtection="1">
      <alignment horizontal="center" vertical="center"/>
      <protection locked="0"/>
    </xf>
    <xf numFmtId="49" fontId="30" fillId="7" borderId="51" xfId="4" applyNumberFormat="1" applyFont="1" applyFill="1" applyBorder="1" applyAlignment="1" applyProtection="1">
      <alignment horizontal="center" vertical="center"/>
      <protection locked="0"/>
    </xf>
    <xf numFmtId="49" fontId="30" fillId="7" borderId="61" xfId="4" applyNumberFormat="1" applyFont="1" applyFill="1" applyBorder="1" applyAlignment="1" applyProtection="1">
      <alignment horizontal="center" vertical="center"/>
      <protection locked="0"/>
    </xf>
    <xf numFmtId="0" fontId="30" fillId="7" borderId="47" xfId="4" applyFont="1" applyFill="1" applyBorder="1" applyAlignment="1">
      <alignment horizontal="center" vertical="center"/>
    </xf>
    <xf numFmtId="0" fontId="30" fillId="7" borderId="48" xfId="4" applyFont="1" applyFill="1" applyBorder="1" applyAlignment="1">
      <alignment horizontal="center" vertical="center"/>
    </xf>
    <xf numFmtId="0" fontId="35" fillId="7" borderId="30" xfId="4" applyFont="1" applyFill="1" applyBorder="1" applyAlignment="1" applyProtection="1">
      <alignment horizontal="center" vertical="center"/>
      <protection locked="0"/>
    </xf>
    <xf numFmtId="0" fontId="35" fillId="7" borderId="31" xfId="4" applyFont="1" applyFill="1" applyBorder="1" applyAlignment="1" applyProtection="1">
      <alignment horizontal="center" vertical="center"/>
      <protection locked="0"/>
    </xf>
    <xf numFmtId="0" fontId="35" fillId="7" borderId="25" xfId="4" applyFont="1" applyFill="1" applyBorder="1" applyAlignment="1" applyProtection="1">
      <alignment horizontal="center" vertical="center"/>
      <protection locked="0"/>
    </xf>
    <xf numFmtId="0" fontId="35" fillId="7" borderId="24" xfId="4" applyFont="1" applyFill="1" applyBorder="1" applyAlignment="1" applyProtection="1">
      <alignment horizontal="center" vertical="center"/>
      <protection locked="0"/>
    </xf>
    <xf numFmtId="49" fontId="30" fillId="7" borderId="62" xfId="4" applyNumberFormat="1" applyFont="1" applyFill="1" applyBorder="1" applyAlignment="1" applyProtection="1">
      <alignment horizontal="center" vertical="center"/>
      <protection locked="0"/>
    </xf>
    <xf numFmtId="49" fontId="30" fillId="7" borderId="63" xfId="4" applyNumberFormat="1" applyFont="1" applyFill="1" applyBorder="1" applyAlignment="1" applyProtection="1">
      <alignment horizontal="center" vertical="center"/>
      <protection locked="0"/>
    </xf>
    <xf numFmtId="49" fontId="30" fillId="7" borderId="52" xfId="4" applyNumberFormat="1" applyFont="1" applyFill="1" applyBorder="1" applyAlignment="1" applyProtection="1">
      <alignment horizontal="center" vertical="center"/>
      <protection locked="0"/>
    </xf>
    <xf numFmtId="49" fontId="30" fillId="7" borderId="43" xfId="4" applyNumberFormat="1" applyFont="1" applyFill="1" applyBorder="1" applyAlignment="1" applyProtection="1">
      <alignment horizontal="center" vertical="center"/>
      <protection locked="0"/>
    </xf>
    <xf numFmtId="49" fontId="30" fillId="7" borderId="53" xfId="4" applyNumberFormat="1" applyFont="1" applyFill="1" applyBorder="1" applyAlignment="1" applyProtection="1">
      <alignment horizontal="center" vertical="center"/>
      <protection locked="0"/>
    </xf>
    <xf numFmtId="49" fontId="30" fillId="7" borderId="63" xfId="4" applyNumberFormat="1" applyFont="1" applyFill="1" applyBorder="1" applyAlignment="1" applyProtection="1">
      <alignment horizontal="left" vertical="center"/>
      <protection locked="0"/>
    </xf>
    <xf numFmtId="49" fontId="30" fillId="7" borderId="64" xfId="4" applyNumberFormat="1" applyFont="1" applyFill="1" applyBorder="1" applyAlignment="1" applyProtection="1">
      <alignment horizontal="center" vertical="center"/>
      <protection locked="0"/>
    </xf>
    <xf numFmtId="0" fontId="30" fillId="7" borderId="46" xfId="4" applyFont="1" applyFill="1" applyBorder="1" applyAlignment="1">
      <alignment horizontal="center" vertical="center"/>
    </xf>
    <xf numFmtId="0" fontId="30" fillId="7" borderId="47" xfId="4" applyFont="1" applyFill="1" applyBorder="1" applyAlignment="1">
      <alignment horizontal="left" vertical="center"/>
    </xf>
    <xf numFmtId="0" fontId="46" fillId="7" borderId="54" xfId="0" applyFont="1" applyFill="1" applyBorder="1" applyAlignment="1">
      <alignment horizontal="center"/>
    </xf>
    <xf numFmtId="0" fontId="46" fillId="7" borderId="55" xfId="0" applyFont="1" applyFill="1" applyBorder="1" applyAlignment="1">
      <alignment horizontal="center"/>
    </xf>
    <xf numFmtId="0" fontId="46" fillId="7" borderId="56" xfId="0" applyFont="1" applyFill="1" applyBorder="1" applyAlignment="1">
      <alignment horizontal="center"/>
    </xf>
    <xf numFmtId="0" fontId="12" fillId="7" borderId="19" xfId="5" applyFont="1" applyFill="1" applyBorder="1" applyAlignment="1">
      <alignment horizontal="center" vertical="top"/>
    </xf>
    <xf numFmtId="0" fontId="12" fillId="7" borderId="0" xfId="5" applyFont="1" applyFill="1" applyBorder="1" applyAlignment="1">
      <alignment horizontal="center" vertical="top"/>
    </xf>
    <xf numFmtId="0" fontId="12" fillId="7" borderId="20" xfId="5" applyFont="1" applyFill="1" applyBorder="1" applyAlignment="1">
      <alignment horizontal="center" vertical="top"/>
    </xf>
    <xf numFmtId="0" fontId="12" fillId="7" borderId="29" xfId="5" applyFont="1" applyFill="1" applyBorder="1" applyAlignment="1">
      <alignment horizontal="center" vertical="top"/>
    </xf>
    <xf numFmtId="0" fontId="12" fillId="7" borderId="30" xfId="5" applyFont="1" applyFill="1" applyBorder="1" applyAlignment="1">
      <alignment horizontal="center" vertical="top"/>
    </xf>
    <xf numFmtId="0" fontId="12" fillId="7" borderId="31" xfId="5" applyFont="1" applyFill="1" applyBorder="1" applyAlignment="1">
      <alignment horizontal="center" vertical="top"/>
    </xf>
    <xf numFmtId="0" fontId="12" fillId="7" borderId="23" xfId="5" applyFont="1" applyFill="1" applyBorder="1" applyAlignment="1">
      <alignment horizontal="center" vertical="top"/>
    </xf>
    <xf numFmtId="0" fontId="12" fillId="7" borderId="25" xfId="5" applyFont="1" applyFill="1" applyBorder="1" applyAlignment="1">
      <alignment horizontal="center" vertical="top"/>
    </xf>
    <xf numFmtId="0" fontId="12" fillId="7" borderId="24" xfId="5" applyFont="1" applyFill="1" applyBorder="1" applyAlignment="1">
      <alignment horizontal="center" vertical="top"/>
    </xf>
    <xf numFmtId="0" fontId="17" fillId="4" borderId="7" xfId="1" applyFont="1" applyFill="1" applyBorder="1" applyAlignment="1">
      <alignment horizontal="center"/>
    </xf>
    <xf numFmtId="0" fontId="12" fillId="0" borderId="3" xfId="1" applyFont="1" applyBorder="1"/>
    <xf numFmtId="0" fontId="12" fillId="0" borderId="8" xfId="1" applyFont="1" applyBorder="1"/>
    <xf numFmtId="0" fontId="2" fillId="0" borderId="0" xfId="1" applyFont="1" applyAlignment="1">
      <alignment horizontal="center" vertical="center"/>
    </xf>
    <xf numFmtId="0" fontId="1" fillId="0" borderId="0" xfId="1"/>
    <xf numFmtId="0" fontId="12" fillId="0" borderId="2" xfId="1" applyFont="1" applyBorder="1"/>
    <xf numFmtId="0" fontId="17" fillId="4" borderId="4" xfId="1" applyFont="1" applyFill="1" applyBorder="1" applyAlignment="1">
      <alignment horizontal="center" vertical="center"/>
    </xf>
    <xf numFmtId="0" fontId="12" fillId="0" borderId="5" xfId="1" applyFont="1" applyBorder="1"/>
    <xf numFmtId="0" fontId="12" fillId="0" borderId="6" xfId="1" applyFont="1" applyBorder="1"/>
    <xf numFmtId="0" fontId="4" fillId="0" borderId="0" xfId="1" applyFont="1"/>
    <xf numFmtId="0" fontId="2" fillId="0" borderId="71" xfId="1" applyFont="1" applyBorder="1"/>
    <xf numFmtId="0" fontId="54" fillId="0" borderId="0" xfId="1" applyFont="1"/>
    <xf numFmtId="0" fontId="49" fillId="0" borderId="0" xfId="1" applyFont="1"/>
    <xf numFmtId="0" fontId="40" fillId="7" borderId="20" xfId="5" applyFont="1" applyFill="1" applyBorder="1" applyAlignment="1">
      <alignment vertical="top"/>
    </xf>
    <xf numFmtId="0" fontId="33" fillId="7" borderId="20" xfId="5" applyFont="1" applyFill="1" applyBorder="1" applyAlignment="1">
      <alignment horizontal="left" vertical="top"/>
    </xf>
    <xf numFmtId="0" fontId="42" fillId="7" borderId="0" xfId="5" applyFont="1" applyFill="1" applyBorder="1" applyAlignment="1">
      <alignment horizontal="left" vertical="top"/>
    </xf>
    <xf numFmtId="0" fontId="40" fillId="7" borderId="30" xfId="5" applyFont="1" applyFill="1" applyBorder="1" applyAlignment="1">
      <alignment vertical="top"/>
    </xf>
    <xf numFmtId="0" fontId="40" fillId="7" borderId="29" xfId="5" applyFont="1" applyFill="1" applyBorder="1" applyAlignment="1">
      <alignment vertical="top"/>
    </xf>
    <xf numFmtId="0" fontId="33" fillId="7" borderId="29" xfId="5" applyFont="1" applyFill="1" applyBorder="1" applyAlignment="1">
      <alignment horizontal="left" vertical="top"/>
    </xf>
    <xf numFmtId="0" fontId="12" fillId="7" borderId="30" xfId="5" applyFont="1" applyFill="1" applyBorder="1" applyAlignment="1">
      <alignment horizontal="left" vertical="top"/>
    </xf>
    <xf numFmtId="0" fontId="12" fillId="0" borderId="30" xfId="5" applyFont="1" applyBorder="1" applyAlignment="1">
      <alignment horizontal="left" vertical="top"/>
    </xf>
    <xf numFmtId="0" fontId="33" fillId="7" borderId="31" xfId="5" applyFont="1" applyFill="1" applyBorder="1" applyAlignment="1">
      <alignment horizontal="center" vertical="top"/>
    </xf>
    <xf numFmtId="9" fontId="12" fillId="7" borderId="20" xfId="5" applyNumberFormat="1" applyFont="1" applyFill="1" applyBorder="1" applyAlignment="1">
      <alignment horizontal="center" vertical="top"/>
    </xf>
    <xf numFmtId="0" fontId="12" fillId="18" borderId="19" xfId="5" applyFont="1" applyFill="1" applyBorder="1" applyAlignment="1">
      <alignment horizontal="left" vertical="top"/>
    </xf>
    <xf numFmtId="0" fontId="12" fillId="18" borderId="0" xfId="5" applyFont="1" applyFill="1" applyBorder="1" applyAlignment="1">
      <alignment horizontal="left" vertical="top"/>
    </xf>
    <xf numFmtId="9" fontId="12" fillId="18" borderId="20" xfId="5" applyNumberFormat="1" applyFont="1" applyFill="1" applyBorder="1" applyAlignment="1">
      <alignment horizontal="center" vertical="top"/>
    </xf>
    <xf numFmtId="0" fontId="12" fillId="18" borderId="23" xfId="5" applyFont="1" applyFill="1" applyBorder="1" applyAlignment="1">
      <alignment horizontal="left" vertical="top"/>
    </xf>
    <xf numFmtId="0" fontId="12" fillId="18" borderId="25" xfId="5" applyFont="1" applyFill="1" applyBorder="1" applyAlignment="1">
      <alignment horizontal="left" vertical="top"/>
    </xf>
    <xf numFmtId="9" fontId="12" fillId="18" borderId="24" xfId="5" applyNumberFormat="1" applyFont="1" applyFill="1" applyBorder="1" applyAlignment="1">
      <alignment horizontal="center" vertical="top"/>
    </xf>
  </cellXfs>
  <cellStyles count="8">
    <cellStyle name="Comma" xfId="7" builtinId="3"/>
    <cellStyle name="Comma 2" xfId="2"/>
    <cellStyle name="Currency 2" xfId="3"/>
    <cellStyle name="Normal" xfId="0" builtinId="0"/>
    <cellStyle name="Normal 2" xfId="1"/>
    <cellStyle name="Normal 2 2" xfId="4"/>
    <cellStyle name="Normal_legend" xfId="5"/>
    <cellStyle name="Per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EDC5"/>
      <color rgb="FF99DC90"/>
      <color rgb="FF79D16D"/>
      <color rgb="FFC77AF6"/>
      <color rgb="FFFD7BD8"/>
      <color rgb="FF38761D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nl-NL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l-NL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Summary Business Plan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Gross Revenue</c:v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BP'!$I$12,'Summary BP'!$K$12,'Summary BP'!$M$12,'Summary BP'!$O$12,'Summary BP'!$Q$12,'Summary BP'!$S$12,'Summary BP'!$U$12,'Summary BP'!$W$12)</c:f>
              <c:numCache>
                <c:formatCode>_ "€"\ * #,##0_ ;_ "€"\ * \-#,##0_ ;_ "€"\ * "-"??_ ;_ @_ </c:formatCode>
                <c:ptCount val="8"/>
                <c:pt idx="0">
                  <c:v>0</c:v>
                </c:pt>
                <c:pt idx="1">
                  <c:v>43596</c:v>
                </c:pt>
                <c:pt idx="2">
                  <c:v>590164</c:v>
                </c:pt>
                <c:pt idx="3">
                  <c:v>1085682.3999999999</c:v>
                </c:pt>
                <c:pt idx="4">
                  <c:v>4304360</c:v>
                </c:pt>
                <c:pt idx="5">
                  <c:v>9861568</c:v>
                </c:pt>
                <c:pt idx="6">
                  <c:v>17538552</c:v>
                </c:pt>
                <c:pt idx="7">
                  <c:v>27385312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E54-4554-8DF8-790007EFF9D6}"/>
            </c:ext>
          </c:extLst>
        </c:ser>
        <c:ser>
          <c:idx val="1"/>
          <c:order val="1"/>
          <c:tx>
            <c:v>Business Cost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BP'!$I$15,'Summary BP'!$K$15,'Summary BP'!$M$15,'Summary BP'!$O$15,'Summary BP'!$Q$15,'Summary BP'!$S$15,'Summary BP'!$U$15,'Summary BP'!$W$15)</c:f>
              <c:numCache>
                <c:formatCode>_ "€"\ * #,##0_ ;_ "€"\ * \-#,##0_ ;_ "€"\ * "-"??_ ;_ @_ </c:formatCode>
                <c:ptCount val="8"/>
                <c:pt idx="0">
                  <c:v>-947267.40999999992</c:v>
                </c:pt>
                <c:pt idx="1">
                  <c:v>-611009.5</c:v>
                </c:pt>
                <c:pt idx="2">
                  <c:v>-821714.94400000002</c:v>
                </c:pt>
                <c:pt idx="3">
                  <c:v>-1515085.0279999999</c:v>
                </c:pt>
                <c:pt idx="4">
                  <c:v>-4096880.9130000002</c:v>
                </c:pt>
                <c:pt idx="5">
                  <c:v>-6058928.3459999999</c:v>
                </c:pt>
                <c:pt idx="6">
                  <c:v>-8247608.8190000001</c:v>
                </c:pt>
                <c:pt idx="7">
                  <c:v>-10435262.332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4-4554-8DF8-790007EFF9D6}"/>
            </c:ext>
          </c:extLst>
        </c:ser>
        <c:ser>
          <c:idx val="3"/>
          <c:order val="2"/>
          <c:tx>
            <c:v>Gross Profit (Earnings Before Taxes)</c:v>
          </c:tx>
          <c:spPr>
            <a:solidFill>
              <a:srgbClr val="38761D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BP'!$I$13,'Summary BP'!$K$13,'Summary BP'!$M$13,'Summary BP'!$O$13,'Summary BP'!$Q$13,'Summary BP'!$S$13,'Summary BP'!$U$13,'Summary BP'!$W$13)</c:f>
              <c:numCache>
                <c:formatCode>_ "€"\ * #,##0_ ;_ "€"\ * \-#,##0_ ;_ "€"\ * "-"??_ ;_ @_ </c:formatCode>
                <c:ptCount val="8"/>
                <c:pt idx="0">
                  <c:v>-947267.40999999992</c:v>
                </c:pt>
                <c:pt idx="1">
                  <c:v>-567413.5</c:v>
                </c:pt>
                <c:pt idx="2">
                  <c:v>-231550.94400000002</c:v>
                </c:pt>
                <c:pt idx="3">
                  <c:v>-429402.62800000003</c:v>
                </c:pt>
                <c:pt idx="4">
                  <c:v>207479.08699999982</c:v>
                </c:pt>
                <c:pt idx="5">
                  <c:v>3802639.6540000001</c:v>
                </c:pt>
                <c:pt idx="6">
                  <c:v>9290943.1809999999</c:v>
                </c:pt>
                <c:pt idx="7">
                  <c:v>16950049.667999998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4-4554-8DF8-790007EFF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315276197"/>
        <c:axId val="1445948163"/>
        <c:extLst/>
      </c:barChart>
      <c:catAx>
        <c:axId val="31527619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948163"/>
        <c:crosses val="autoZero"/>
        <c:auto val="1"/>
        <c:lblAlgn val="ctr"/>
        <c:lblOffset val="100"/>
        <c:noMultiLvlLbl val="1"/>
      </c:catAx>
      <c:valAx>
        <c:axId val="14459481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27619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Income by Business Line 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1"/>
        <c:ser>
          <c:idx val="0"/>
          <c:order val="0"/>
          <c:tx>
            <c:v> Frass </c:v>
          </c:tx>
          <c:spPr>
            <a:solidFill>
              <a:schemeClr val="accent1">
                <a:alpha val="40000"/>
              </a:schemeClr>
            </a:solidFill>
            <a:ln cmpd="sng">
              <a:solidFill>
                <a:schemeClr val="accent5"/>
              </a:solidFill>
            </a:ln>
          </c:spPr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BP'!$I$21,'Summary BP'!$K$21,'Summary BP'!$M$21,'Summary BP'!$O$21,'Summary BP'!$Q$21,'Summary BP'!$S$21,'Summary BP'!$U$21,'Summary BP'!$W$21)</c:f>
              <c:numCache>
                <c:formatCode>_ "€"\ * #,##0_ ;_ "€"\ * \-#,##0_ ;_ "€"\ * "-"??_ ;_ @_ </c:formatCode>
                <c:ptCount val="8"/>
                <c:pt idx="0">
                  <c:v>0</c:v>
                </c:pt>
                <c:pt idx="1">
                  <c:v>43596</c:v>
                </c:pt>
                <c:pt idx="2">
                  <c:v>150164.00000000003</c:v>
                </c:pt>
                <c:pt idx="3">
                  <c:v>191822.4</c:v>
                </c:pt>
                <c:pt idx="4">
                  <c:v>726600</c:v>
                </c:pt>
                <c:pt idx="5">
                  <c:v>1801968</c:v>
                </c:pt>
                <c:pt idx="6">
                  <c:v>3574872</c:v>
                </c:pt>
                <c:pt idx="7">
                  <c:v>6045312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6-4744-BD13-F6A50B4D77FA}"/>
            </c:ext>
          </c:extLst>
        </c:ser>
        <c:ser>
          <c:idx val="1"/>
          <c:order val="1"/>
          <c:tx>
            <c:v> Biorreactor  </c:v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BP'!$I$24,'Summary BP'!$K$24,'Summary BP'!$M$24,'Summary BP'!$O$24,'Summary BP'!$Q$24,'Summary BP'!$S$24,'Summary BP'!$U$24,'Summary BP'!$W$24)</c:f>
              <c:numCache>
                <c:formatCode>_ "€"\ * #,##0_ ;_ "€"\ * \-#,##0_ ;_ "€"\ * "-"??_ ;_ @_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390000</c:v>
                </c:pt>
                <c:pt idx="3">
                  <c:v>680000</c:v>
                </c:pt>
                <c:pt idx="4">
                  <c:v>2250000</c:v>
                </c:pt>
                <c:pt idx="5">
                  <c:v>4500000</c:v>
                </c:pt>
                <c:pt idx="6">
                  <c:v>6720000</c:v>
                </c:pt>
                <c:pt idx="7">
                  <c:v>8960000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6-4744-BD13-F6A50B4D77FA}"/>
            </c:ext>
          </c:extLst>
        </c:ser>
        <c:ser>
          <c:idx val="2"/>
          <c:order val="2"/>
          <c:tx>
            <c:v> Biorreactor subscription 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BP'!$I$25,'Summary BP'!$K$25,'Summary BP'!$M$25,'Summary BP'!$O$25,'Summary BP'!$Q$25,'Summary BP'!$S$25,'Summary BP'!$U$25,'Summary BP'!$W$25)</c:f>
              <c:numCache>
                <c:formatCode>_ "€"\ * #,##0_ ;_ "€"\ * \-#,##0_ ;_ "€"\ * "-"??_ ;_ @_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50000</c:v>
                </c:pt>
                <c:pt idx="3">
                  <c:v>132860</c:v>
                </c:pt>
                <c:pt idx="4">
                  <c:v>472760</c:v>
                </c:pt>
                <c:pt idx="5">
                  <c:v>1147600</c:v>
                </c:pt>
                <c:pt idx="6">
                  <c:v>2248680</c:v>
                </c:pt>
                <c:pt idx="7">
                  <c:v>3776000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96-4744-BD13-F6A50B4D77FA}"/>
            </c:ext>
          </c:extLst>
        </c:ser>
        <c:ser>
          <c:idx val="3"/>
          <c:order val="3"/>
          <c:tx>
            <c:v>Waste Management</c:v>
          </c:tx>
          <c:spPr>
            <a:solidFill>
              <a:schemeClr val="accent6">
                <a:lumMod val="75000"/>
              </a:schemeClr>
            </a:solidFill>
          </c:spPr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BP'!$I$26,'Summary BP'!$K$26,'Summary BP'!$M$26,'Summary BP'!$O$26,'Summary BP'!$Q$26,'Summary BP'!$S$26,'Summary BP'!$U$26,'Summary BP'!$W$26)</c:f>
              <c:numCache>
                <c:formatCode>_ "€"\ * #,##0_ ;_ "€"\ * \-#,##0_ ;_ "€"\ * "-"??_ ;_ @_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81000</c:v>
                </c:pt>
                <c:pt idx="4">
                  <c:v>855000</c:v>
                </c:pt>
                <c:pt idx="5">
                  <c:v>2412000</c:v>
                </c:pt>
                <c:pt idx="6">
                  <c:v>4995000</c:v>
                </c:pt>
                <c:pt idx="7">
                  <c:v>8604000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96-4744-BD13-F6A50B4D7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711923"/>
        <c:axId val="438722964"/>
      </c:areaChart>
      <c:catAx>
        <c:axId val="7757119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38722964"/>
        <c:crosses val="autoZero"/>
        <c:auto val="1"/>
        <c:lblAlgn val="ctr"/>
        <c:lblOffset val="100"/>
        <c:noMultiLvlLbl val="1"/>
      </c:catAx>
      <c:valAx>
        <c:axId val="4387229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75711923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nl-NL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l-NL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Business Cost Breakdown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'Summary BP'!$G$55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C5E0B4"/>
            </a:solidFill>
            <a:ln>
              <a:noFill/>
            </a:ln>
            <a:effectLst/>
          </c:spPr>
          <c:invertIfNegative val="1"/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BP'!$I$55,'Summary BP'!$K$55,'Summary BP'!$M$55,'Summary BP'!$O$55,'Summary BP'!$Q$55,'Summary BP'!$S$55,'Summary BP'!$U$55,'Summary BP'!$W$55)</c:f>
              <c:numCache>
                <c:formatCode>_ "€"\ * #,##0_ ;_ "€"\ * \-#,##0_ ;_ "€"\ * "-"??_ ;_ @_ </c:formatCode>
                <c:ptCount val="8"/>
                <c:pt idx="0">
                  <c:v>429800</c:v>
                </c:pt>
                <c:pt idx="1">
                  <c:v>140800</c:v>
                </c:pt>
                <c:pt idx="2">
                  <c:v>274600</c:v>
                </c:pt>
                <c:pt idx="3">
                  <c:v>885600</c:v>
                </c:pt>
                <c:pt idx="4">
                  <c:v>2726800</c:v>
                </c:pt>
                <c:pt idx="5">
                  <c:v>4310600</c:v>
                </c:pt>
                <c:pt idx="6">
                  <c:v>6180700</c:v>
                </c:pt>
                <c:pt idx="7">
                  <c:v>8121350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6F2-459D-852C-BFB5382D27F4}"/>
            </c:ext>
          </c:extLst>
        </c:ser>
        <c:ser>
          <c:idx val="1"/>
          <c:order val="1"/>
          <c:tx>
            <c:strRef>
              <c:f>'Summary BP'!$G$64</c:f>
              <c:strCache>
                <c:ptCount val="1"/>
                <c:pt idx="0">
                  <c:v>OPEX</c:v>
                </c:pt>
              </c:strCache>
            </c:strRef>
          </c:tx>
          <c:spPr>
            <a:solidFill>
              <a:srgbClr val="79D16D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BP'!$I$64,'Summary BP'!$K$64,'Summary BP'!$M$64,'Summary BP'!$O$64,'Summary BP'!$Q$64,'Summary BP'!$S$64,'Summary BP'!$U$64,'Summary BP'!$W$64)</c:f>
              <c:numCache>
                <c:formatCode>_ "€"\ * #,##0_ ;_ "€"\ * \-#,##0_ ;_ "€"\ * "-"??_ ;_ @_ </c:formatCode>
                <c:ptCount val="8"/>
                <c:pt idx="0">
                  <c:v>62547.409999999996</c:v>
                </c:pt>
                <c:pt idx="1">
                  <c:v>54289.5</c:v>
                </c:pt>
                <c:pt idx="2">
                  <c:v>52054.944000000003</c:v>
                </c:pt>
                <c:pt idx="3">
                  <c:v>50775.027999999998</c:v>
                </c:pt>
                <c:pt idx="4">
                  <c:v>274850.913</c:v>
                </c:pt>
                <c:pt idx="5">
                  <c:v>187318.34600000002</c:v>
                </c:pt>
                <c:pt idx="6">
                  <c:v>279288.81900000002</c:v>
                </c:pt>
                <c:pt idx="7">
                  <c:v>403162.33200000005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2-459D-852C-BFB5382D27F4}"/>
            </c:ext>
          </c:extLst>
        </c:ser>
        <c:ser>
          <c:idx val="3"/>
          <c:order val="2"/>
          <c:tx>
            <c:strRef>
              <c:f>'Summary BP'!$G$70</c:f>
              <c:strCache>
                <c:ptCount val="1"/>
                <c:pt idx="0">
                  <c:v>Outsourcing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BP'!$I$70,'Summary BP'!$K$70,'Summary BP'!$M$70,'Summary BP'!$O$70,'Summary BP'!$Q$70,'Summary BP'!$S$70,'Summary BP'!$U$70,'Summary BP'!$W$70)</c:f>
              <c:numCache>
                <c:formatCode>_ "€"\ * #,##0_ ;_ "€"\ * \-#,##0_ ;_ "€"\ * "-"??_ ;_ @_ </c:formatCode>
                <c:ptCount val="8"/>
                <c:pt idx="0">
                  <c:v>92600</c:v>
                </c:pt>
                <c:pt idx="1">
                  <c:v>52400</c:v>
                </c:pt>
                <c:pt idx="2">
                  <c:v>52400</c:v>
                </c:pt>
                <c:pt idx="3">
                  <c:v>65850</c:v>
                </c:pt>
                <c:pt idx="4">
                  <c:v>114050</c:v>
                </c:pt>
                <c:pt idx="5">
                  <c:v>123000</c:v>
                </c:pt>
                <c:pt idx="6">
                  <c:v>131000</c:v>
                </c:pt>
                <c:pt idx="7">
                  <c:v>147000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2-459D-852C-BFB5382D27F4}"/>
            </c:ext>
          </c:extLst>
        </c:ser>
        <c:ser>
          <c:idx val="4"/>
          <c:order val="3"/>
          <c:tx>
            <c:strRef>
              <c:f>'Summary BP'!$G$28</c:f>
              <c:strCache>
                <c:ptCount val="1"/>
                <c:pt idx="0">
                  <c:v>Head Count Cost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BP'!$I$28,'Summary BP'!$K$28,'Summary BP'!$M$28,'Summary BP'!$O$28,'Summary BP'!$Q$28,'Summary BP'!$S$28,'Summary BP'!$U$28,'Summary BP'!$W$28)</c:f>
              <c:numCache>
                <c:formatCode>_ "€"\ * #,##0_ ;_ "€"\ * \-#,##0_ ;_ "€"\ * "-"??_ ;_ @_ </c:formatCode>
                <c:ptCount val="8"/>
                <c:pt idx="0">
                  <c:v>283920</c:v>
                </c:pt>
                <c:pt idx="1">
                  <c:v>283920</c:v>
                </c:pt>
                <c:pt idx="2">
                  <c:v>333060</c:v>
                </c:pt>
                <c:pt idx="3">
                  <c:v>403260</c:v>
                </c:pt>
                <c:pt idx="4">
                  <c:v>767130</c:v>
                </c:pt>
                <c:pt idx="5">
                  <c:v>1169610</c:v>
                </c:pt>
                <c:pt idx="6">
                  <c:v>1375920</c:v>
                </c:pt>
                <c:pt idx="7">
                  <c:v>1583400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F2-459D-852C-BFB5382D27F4}"/>
            </c:ext>
          </c:extLst>
        </c:ser>
        <c:ser>
          <c:idx val="2"/>
          <c:order val="4"/>
          <c:tx>
            <c:strRef>
              <c:f>'Summary BP'!$G$78</c:f>
              <c:strCache>
                <c:ptCount val="1"/>
                <c:pt idx="0">
                  <c:v>Other expenses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Lit>
              <c:ptCount val="8"/>
              <c:pt idx="0">
                <c:v>Y1</c:v>
              </c:pt>
              <c:pt idx="1">
                <c:v>Y2</c:v>
              </c:pt>
              <c:pt idx="2">
                <c:v>Y3</c:v>
              </c:pt>
              <c:pt idx="3">
                <c:v>Y4</c:v>
              </c:pt>
              <c:pt idx="4">
                <c:v>Y5</c:v>
              </c:pt>
              <c:pt idx="5">
                <c:v>Y6</c:v>
              </c:pt>
              <c:pt idx="6">
                <c:v>Y7</c:v>
              </c:pt>
              <c:pt idx="7">
                <c:v>Y8</c:v>
              </c:pt>
            </c:strLit>
          </c:cat>
          <c:val>
            <c:numRef>
              <c:f>('Summary BP'!$I$78,'Summary BP'!$K$78,'Summary BP'!$M$78,'Summary BP'!$O$78,'Summary BP'!$Q$78,'Summary BP'!$S$78,'Summary BP'!$U$78,'Summary BP'!$W$78)</c:f>
              <c:numCache>
                <c:formatCode>_ "€"\ * #,##0_ ;_ "€"\ * \-#,##0_ ;_ "€"\ * "-"??_ ;_ @_ </c:formatCode>
                <c:ptCount val="8"/>
                <c:pt idx="0">
                  <c:v>78400</c:v>
                </c:pt>
                <c:pt idx="1">
                  <c:v>79600</c:v>
                </c:pt>
                <c:pt idx="2">
                  <c:v>109600</c:v>
                </c:pt>
                <c:pt idx="3">
                  <c:v>109600</c:v>
                </c:pt>
                <c:pt idx="4">
                  <c:v>214050</c:v>
                </c:pt>
                <c:pt idx="5">
                  <c:v>268400</c:v>
                </c:pt>
                <c:pt idx="6">
                  <c:v>280700</c:v>
                </c:pt>
                <c:pt idx="7">
                  <c:v>180350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F2-459D-852C-BFB5382D2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100"/>
        <c:axId val="315276197"/>
        <c:axId val="1445948163"/>
        <c:extLst/>
      </c:barChart>
      <c:catAx>
        <c:axId val="31527619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948163"/>
        <c:crosses val="autoZero"/>
        <c:auto val="1"/>
        <c:lblAlgn val="ctr"/>
        <c:lblOffset val="100"/>
        <c:noMultiLvlLbl val="1"/>
      </c:catAx>
      <c:valAx>
        <c:axId val="14459481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27619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4.png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56029</xdr:colOff>
      <xdr:row>43</xdr:row>
      <xdr:rowOff>67235</xdr:rowOff>
    </xdr:from>
    <xdr:to>
      <xdr:col>76</xdr:col>
      <xdr:colOff>78441</xdr:colOff>
      <xdr:row>48</xdr:row>
      <xdr:rowOff>137207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6F6D08-D81D-4D56-AE0A-942F073B2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382" y="7877735"/>
          <a:ext cx="3944471" cy="1022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187512</xdr:colOff>
      <xdr:row>5</xdr:row>
      <xdr:rowOff>69972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EDC068-8C8F-4131-8F74-15CF99B9B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11787" cy="1022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187512</xdr:colOff>
      <xdr:row>5</xdr:row>
      <xdr:rowOff>69972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EDC068-8C8F-4131-8F74-15CF99B9B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11787" cy="1022472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7</xdr:row>
      <xdr:rowOff>28575</xdr:rowOff>
    </xdr:from>
    <xdr:to>
      <xdr:col>11</xdr:col>
      <xdr:colOff>85725</xdr:colOff>
      <xdr:row>18</xdr:row>
      <xdr:rowOff>35984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419225"/>
          <a:ext cx="3028950" cy="26363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257175</xdr:rowOff>
    </xdr:from>
    <xdr:to>
      <xdr:col>6</xdr:col>
      <xdr:colOff>2800350</xdr:colOff>
      <xdr:row>3</xdr:row>
      <xdr:rowOff>205907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E95A1D-87C4-3CC1-F6AE-E4407430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257175"/>
          <a:ext cx="2705101" cy="701207"/>
        </a:xfrm>
        <a:prstGeom prst="rect">
          <a:avLst/>
        </a:prstGeom>
      </xdr:spPr>
    </xdr:pic>
    <xdr:clientData/>
  </xdr:twoCellAnchor>
  <xdr:oneCellAnchor>
    <xdr:from>
      <xdr:col>23</xdr:col>
      <xdr:colOff>485775</xdr:colOff>
      <xdr:row>11</xdr:row>
      <xdr:rowOff>9525</xdr:rowOff>
    </xdr:from>
    <xdr:ext cx="8915399" cy="2914649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D45233-59CD-47B0-A40D-0F67F6ADB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23</xdr:col>
      <xdr:colOff>464343</xdr:colOff>
      <xdr:row>27</xdr:row>
      <xdr:rowOff>142876</xdr:rowOff>
    </xdr:from>
    <xdr:ext cx="8953500" cy="2867025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9DE236-ACCD-4CC1-BC76-E3E6EA62D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24</xdr:col>
      <xdr:colOff>0</xdr:colOff>
      <xdr:row>45</xdr:row>
      <xdr:rowOff>0</xdr:rowOff>
    </xdr:from>
    <xdr:ext cx="8915399" cy="29146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AE5E11-99C3-44D4-9DDC-B1A2589FF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275167</xdr:colOff>
      <xdr:row>1</xdr:row>
      <xdr:rowOff>31749</xdr:rowOff>
    </xdr:from>
    <xdr:to>
      <xdr:col>2</xdr:col>
      <xdr:colOff>2980268</xdr:colOff>
      <xdr:row>3</xdr:row>
      <xdr:rowOff>256706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78ED30-8713-4626-9366-027033175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667" y="306916"/>
          <a:ext cx="2705101" cy="701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dpi.com/2073-4360/15/8/1877" TargetMode="External"/><Relationship Id="rId1" Type="http://schemas.openxmlformats.org/officeDocument/2006/relationships/hyperlink" Target="https://www.malteurop.com/en/node/178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78"/>
  <sheetViews>
    <sheetView tabSelected="1" zoomScale="101" zoomScaleNormal="60" workbookViewId="0">
      <selection activeCell="D23" sqref="D23:DC24"/>
    </sheetView>
  </sheetViews>
  <sheetFormatPr defaultColWidth="0" defaultRowHeight="15" customHeight="1" zeroHeight="1"/>
  <cols>
    <col min="1" max="2" width="1.7109375" style="245" customWidth="1"/>
    <col min="3" max="6" width="2.7109375" style="113" customWidth="1"/>
    <col min="7" max="110" width="1.7109375" style="113" customWidth="1"/>
    <col min="111" max="112" width="1.7109375" style="245" customWidth="1"/>
    <col min="113" max="113" width="8.85546875" style="245" hidden="1" customWidth="1"/>
    <col min="114" max="118" width="0" style="245" hidden="1" customWidth="1"/>
    <col min="119" max="16384" width="8.85546875" style="113" hidden="1"/>
  </cols>
  <sheetData>
    <row r="1" spans="1:118" s="245" customFormat="1" ht="15" customHeight="1"/>
    <row r="2" spans="1:118" s="245" customFormat="1" ht="15" customHeight="1"/>
    <row r="3" spans="1:118" s="91" customFormat="1" ht="15.2" customHeight="1">
      <c r="A3" s="250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90"/>
      <c r="DG3" s="92"/>
      <c r="DH3" s="92"/>
      <c r="DI3" s="92"/>
      <c r="DJ3" s="92"/>
      <c r="DK3" s="92"/>
      <c r="DL3" s="92"/>
      <c r="DM3" s="92"/>
      <c r="DN3" s="92"/>
    </row>
    <row r="4" spans="1:118" s="91" customFormat="1" ht="15.2" customHeight="1">
      <c r="A4" s="104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3"/>
      <c r="DG4" s="92"/>
      <c r="DH4" s="92"/>
      <c r="DI4" s="92"/>
      <c r="DJ4" s="92"/>
      <c r="DK4" s="92"/>
      <c r="DL4" s="92"/>
      <c r="DM4" s="92"/>
      <c r="DN4" s="92"/>
    </row>
    <row r="5" spans="1:118" s="91" customFormat="1" ht="15.2" customHeight="1">
      <c r="A5" s="10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3"/>
      <c r="DG5" s="92"/>
      <c r="DH5" s="92"/>
      <c r="DI5" s="92"/>
      <c r="DJ5" s="92"/>
      <c r="DK5" s="92"/>
      <c r="DL5" s="92"/>
      <c r="DM5" s="92"/>
      <c r="DN5" s="92"/>
    </row>
    <row r="6" spans="1:118" s="91" customFormat="1" ht="15.2" customHeight="1">
      <c r="A6" s="104"/>
      <c r="B6" s="92"/>
      <c r="C6" s="92"/>
      <c r="D6" s="94" t="s">
        <v>148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2"/>
      <c r="DE6" s="92"/>
      <c r="DF6" s="93"/>
      <c r="DG6" s="92"/>
      <c r="DH6" s="92"/>
      <c r="DI6" s="92"/>
      <c r="DJ6" s="92"/>
      <c r="DK6" s="92"/>
      <c r="DL6" s="92"/>
      <c r="DM6" s="92"/>
      <c r="DN6" s="92"/>
    </row>
    <row r="7" spans="1:118" s="91" customFormat="1" ht="15.2" customHeight="1">
      <c r="A7" s="104"/>
      <c r="B7" s="92"/>
      <c r="C7" s="92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2"/>
      <c r="DE7" s="92"/>
      <c r="DF7" s="93"/>
      <c r="DG7" s="92"/>
      <c r="DH7" s="92"/>
      <c r="DI7" s="92"/>
      <c r="DJ7" s="92"/>
      <c r="DK7" s="92"/>
      <c r="DL7" s="92"/>
      <c r="DM7" s="92"/>
      <c r="DN7" s="92"/>
    </row>
    <row r="8" spans="1:118" s="91" customFormat="1" ht="15.2" customHeight="1">
      <c r="A8" s="104"/>
      <c r="B8" s="92"/>
      <c r="C8" s="92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2"/>
      <c r="DE8" s="92"/>
      <c r="DF8" s="93"/>
      <c r="DG8" s="92"/>
      <c r="DH8" s="92"/>
      <c r="DI8" s="92"/>
      <c r="DJ8" s="92"/>
      <c r="DK8" s="92"/>
      <c r="DL8" s="92"/>
      <c r="DM8" s="92"/>
      <c r="DN8" s="92"/>
    </row>
    <row r="9" spans="1:118" s="91" customFormat="1" ht="15.2" customHeight="1">
      <c r="A9" s="104"/>
      <c r="B9" s="92"/>
      <c r="C9" s="92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2"/>
      <c r="DE9" s="92"/>
      <c r="DF9" s="93"/>
      <c r="DG9" s="92"/>
      <c r="DH9" s="92"/>
      <c r="DI9" s="92"/>
      <c r="DJ9" s="92"/>
      <c r="DK9" s="92"/>
      <c r="DL9" s="92"/>
      <c r="DM9" s="92"/>
      <c r="DN9" s="92"/>
    </row>
    <row r="10" spans="1:118" s="91" customFormat="1" ht="15.2" customHeight="1">
      <c r="A10" s="104"/>
      <c r="B10" s="92"/>
      <c r="C10" s="92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2"/>
      <c r="DE10" s="92"/>
      <c r="DF10" s="93"/>
      <c r="DG10" s="92"/>
      <c r="DH10" s="92"/>
      <c r="DI10" s="92"/>
      <c r="DJ10" s="92"/>
      <c r="DK10" s="92"/>
      <c r="DL10" s="92"/>
      <c r="DM10" s="92"/>
      <c r="DN10" s="92"/>
    </row>
    <row r="11" spans="1:118" s="91" customFormat="1" ht="15.2" customHeight="1">
      <c r="A11" s="104"/>
      <c r="B11" s="92"/>
      <c r="C11" s="92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2"/>
      <c r="DE11" s="92"/>
      <c r="DF11" s="93"/>
      <c r="DG11" s="92"/>
      <c r="DH11" s="92"/>
      <c r="DI11" s="92"/>
      <c r="DJ11" s="92"/>
      <c r="DK11" s="92"/>
      <c r="DL11" s="92"/>
      <c r="DM11" s="92"/>
      <c r="DN11" s="92"/>
    </row>
    <row r="12" spans="1:118" s="91" customFormat="1" ht="15.2" customHeight="1">
      <c r="A12" s="10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3"/>
      <c r="DG12" s="92"/>
      <c r="DH12" s="92"/>
      <c r="DI12" s="92"/>
      <c r="DJ12" s="92"/>
      <c r="DK12" s="92"/>
      <c r="DL12" s="92"/>
      <c r="DM12" s="92"/>
      <c r="DN12" s="92"/>
    </row>
    <row r="13" spans="1:118" s="91" customFormat="1" ht="15.2" customHeight="1">
      <c r="A13" s="104"/>
      <c r="B13" s="92"/>
      <c r="C13" s="92"/>
      <c r="D13" s="403" t="s">
        <v>177</v>
      </c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92"/>
      <c r="DE13" s="92"/>
      <c r="DF13" s="93"/>
      <c r="DG13" s="92"/>
      <c r="DH13" s="92"/>
      <c r="DI13" s="92"/>
      <c r="DJ13" s="92"/>
      <c r="DK13" s="92"/>
      <c r="DL13" s="92"/>
      <c r="DM13" s="92"/>
      <c r="DN13" s="92"/>
    </row>
    <row r="14" spans="1:118" s="91" customFormat="1" ht="15.2" customHeight="1">
      <c r="A14" s="104"/>
      <c r="B14" s="92"/>
      <c r="C14" s="92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3"/>
      <c r="BO14" s="403"/>
      <c r="BP14" s="403"/>
      <c r="BQ14" s="403"/>
      <c r="BR14" s="403"/>
      <c r="BS14" s="403"/>
      <c r="BT14" s="403"/>
      <c r="BU14" s="403"/>
      <c r="BV14" s="403"/>
      <c r="BW14" s="403"/>
      <c r="BX14" s="403"/>
      <c r="BY14" s="403"/>
      <c r="BZ14" s="403"/>
      <c r="CA14" s="403"/>
      <c r="CB14" s="403"/>
      <c r="CC14" s="403"/>
      <c r="CD14" s="403"/>
      <c r="CE14" s="403"/>
      <c r="CF14" s="403"/>
      <c r="CG14" s="403"/>
      <c r="CH14" s="40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3"/>
      <c r="CT14" s="403"/>
      <c r="CU14" s="403"/>
      <c r="CV14" s="403"/>
      <c r="CW14" s="403"/>
      <c r="CX14" s="403"/>
      <c r="CY14" s="403"/>
      <c r="CZ14" s="403"/>
      <c r="DA14" s="403"/>
      <c r="DB14" s="403"/>
      <c r="DC14" s="403"/>
      <c r="DD14" s="92"/>
      <c r="DE14" s="92"/>
      <c r="DF14" s="93"/>
      <c r="DG14" s="92"/>
      <c r="DH14" s="92"/>
      <c r="DI14" s="92"/>
      <c r="DJ14" s="92"/>
      <c r="DK14" s="92"/>
      <c r="DL14" s="92"/>
      <c r="DM14" s="92"/>
      <c r="DN14" s="92"/>
    </row>
    <row r="15" spans="1:118" s="91" customFormat="1" ht="15.2" customHeight="1">
      <c r="A15" s="104"/>
      <c r="B15" s="92"/>
      <c r="C15" s="92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3"/>
      <c r="CY15" s="403"/>
      <c r="CZ15" s="403"/>
      <c r="DA15" s="403"/>
      <c r="DB15" s="403"/>
      <c r="DC15" s="403"/>
      <c r="DD15" s="92"/>
      <c r="DE15" s="92"/>
      <c r="DF15" s="93"/>
      <c r="DG15" s="92"/>
      <c r="DH15" s="92"/>
      <c r="DI15" s="92"/>
      <c r="DJ15" s="92"/>
      <c r="DK15" s="92"/>
      <c r="DL15" s="92"/>
      <c r="DM15" s="92"/>
      <c r="DN15" s="92"/>
    </row>
    <row r="16" spans="1:118" s="91" customFormat="1" ht="15.2" customHeight="1">
      <c r="A16" s="104"/>
      <c r="B16" s="92"/>
      <c r="C16" s="9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92"/>
      <c r="DE16" s="92"/>
      <c r="DF16" s="93"/>
      <c r="DG16" s="92"/>
      <c r="DH16" s="92"/>
      <c r="DI16" s="92"/>
      <c r="DJ16" s="92"/>
      <c r="DK16" s="92"/>
      <c r="DL16" s="92"/>
      <c r="DM16" s="92"/>
      <c r="DN16" s="92"/>
    </row>
    <row r="17" spans="1:118" s="91" customFormat="1" ht="15.2" customHeight="1">
      <c r="A17" s="104"/>
      <c r="B17" s="92"/>
      <c r="C17" s="92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03"/>
      <c r="CY17" s="403"/>
      <c r="CZ17" s="403"/>
      <c r="DA17" s="403"/>
      <c r="DB17" s="403"/>
      <c r="DC17" s="403"/>
      <c r="DD17" s="92"/>
      <c r="DE17" s="92"/>
      <c r="DF17" s="93"/>
      <c r="DG17" s="92"/>
      <c r="DH17" s="92"/>
      <c r="DI17" s="92"/>
      <c r="DJ17" s="92"/>
      <c r="DK17" s="92"/>
      <c r="DL17" s="92"/>
      <c r="DM17" s="92"/>
      <c r="DN17" s="92"/>
    </row>
    <row r="18" spans="1:118" s="91" customFormat="1" ht="15.2" customHeight="1">
      <c r="A18" s="104"/>
      <c r="B18" s="92"/>
      <c r="C18" s="92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3"/>
      <c r="CH18" s="403"/>
      <c r="CI18" s="403"/>
      <c r="CJ18" s="403"/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92"/>
      <c r="DE18" s="92"/>
      <c r="DF18" s="93"/>
      <c r="DG18" s="92"/>
      <c r="DH18" s="92"/>
      <c r="DI18" s="92"/>
      <c r="DJ18" s="92"/>
      <c r="DK18" s="92"/>
      <c r="DL18" s="92"/>
      <c r="DM18" s="92"/>
      <c r="DN18" s="92"/>
    </row>
    <row r="19" spans="1:118" s="91" customFormat="1" ht="15.2" customHeight="1">
      <c r="A19" s="10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3"/>
      <c r="DG19" s="92"/>
      <c r="DH19" s="92"/>
      <c r="DI19" s="92"/>
      <c r="DJ19" s="92"/>
      <c r="DK19" s="92"/>
      <c r="DL19" s="92"/>
      <c r="DM19" s="92"/>
      <c r="DN19" s="92"/>
    </row>
    <row r="20" spans="1:118" s="91" customFormat="1" ht="15.2" customHeight="1">
      <c r="A20" s="10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  <c r="DG20" s="92"/>
      <c r="DH20" s="92"/>
      <c r="DI20" s="92"/>
      <c r="DJ20" s="92"/>
      <c r="DK20" s="92"/>
      <c r="DL20" s="92"/>
      <c r="DM20" s="92"/>
      <c r="DN20" s="92"/>
    </row>
    <row r="21" spans="1:118" s="91" customFormat="1" ht="15.2" customHeight="1">
      <c r="A21" s="104"/>
      <c r="B21" s="92"/>
      <c r="C21" s="92"/>
      <c r="D21" s="404" t="s">
        <v>373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92"/>
      <c r="DE21" s="92"/>
      <c r="DF21" s="93"/>
      <c r="DG21" s="92"/>
      <c r="DH21" s="92"/>
      <c r="DI21" s="92"/>
      <c r="DJ21" s="92"/>
      <c r="DK21" s="92"/>
      <c r="DL21" s="92"/>
      <c r="DM21" s="92"/>
      <c r="DN21" s="92"/>
    </row>
    <row r="22" spans="1:118" s="91" customFormat="1" ht="15.2" customHeight="1">
      <c r="A22" s="104"/>
      <c r="B22" s="92"/>
      <c r="C22" s="92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92"/>
      <c r="DE22" s="92"/>
      <c r="DF22" s="93"/>
      <c r="DG22" s="92"/>
      <c r="DH22" s="92"/>
      <c r="DI22" s="92"/>
      <c r="DJ22" s="92"/>
      <c r="DK22" s="92"/>
      <c r="DL22" s="92"/>
      <c r="DM22" s="92"/>
      <c r="DN22" s="92"/>
    </row>
    <row r="23" spans="1:118" s="91" customFormat="1" ht="15.2" customHeight="1">
      <c r="A23" s="104"/>
      <c r="B23" s="92"/>
      <c r="C23" s="92"/>
      <c r="D23" s="405" t="s">
        <v>205</v>
      </c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92"/>
      <c r="DE23" s="92"/>
      <c r="DF23" s="93"/>
      <c r="DG23" s="92"/>
      <c r="DH23" s="92"/>
      <c r="DI23" s="92"/>
      <c r="DJ23" s="92"/>
      <c r="DK23" s="92"/>
      <c r="DL23" s="92"/>
      <c r="DM23" s="92"/>
      <c r="DN23" s="92"/>
    </row>
    <row r="24" spans="1:118" s="91" customFormat="1" ht="15.2" customHeight="1">
      <c r="A24" s="104"/>
      <c r="B24" s="92"/>
      <c r="C24" s="92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92"/>
      <c r="DE24" s="92"/>
      <c r="DF24" s="93"/>
      <c r="DG24" s="92"/>
      <c r="DH24" s="92"/>
      <c r="DI24" s="92"/>
      <c r="DJ24" s="92"/>
      <c r="DK24" s="92"/>
      <c r="DL24" s="92"/>
      <c r="DM24" s="92"/>
      <c r="DN24" s="92"/>
    </row>
    <row r="25" spans="1:118" s="91" customFormat="1" ht="15.2" customHeight="1">
      <c r="A25" s="104"/>
      <c r="B25" s="92"/>
      <c r="C25" s="92"/>
      <c r="D25" s="404" t="s">
        <v>159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92"/>
      <c r="DE25" s="92"/>
      <c r="DF25" s="93"/>
      <c r="DG25" s="92"/>
      <c r="DH25" s="92"/>
      <c r="DI25" s="92"/>
      <c r="DJ25" s="92"/>
      <c r="DK25" s="92"/>
      <c r="DL25" s="92"/>
      <c r="DM25" s="92"/>
      <c r="DN25" s="92"/>
    </row>
    <row r="26" spans="1:118" s="91" customFormat="1" ht="15.2" customHeight="1">
      <c r="A26" s="104"/>
      <c r="B26" s="92"/>
      <c r="C26" s="92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92"/>
      <c r="DE26" s="92"/>
      <c r="DF26" s="93"/>
      <c r="DG26" s="92"/>
      <c r="DH26" s="92"/>
      <c r="DI26" s="92"/>
      <c r="DJ26" s="92"/>
      <c r="DK26" s="92"/>
      <c r="DL26" s="92"/>
      <c r="DM26" s="92"/>
      <c r="DN26" s="92"/>
    </row>
    <row r="27" spans="1:118" s="91" customFormat="1" ht="15.2" customHeight="1">
      <c r="A27" s="104"/>
      <c r="B27" s="92"/>
      <c r="C27" s="92"/>
      <c r="D27" s="92" t="s">
        <v>149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3"/>
      <c r="DG27" s="92"/>
      <c r="DH27" s="92"/>
      <c r="DI27" s="92"/>
      <c r="DJ27" s="92"/>
      <c r="DK27" s="92"/>
      <c r="DL27" s="92"/>
      <c r="DM27" s="92"/>
      <c r="DN27" s="92"/>
    </row>
    <row r="28" spans="1:118" s="91" customFormat="1" ht="15.2" customHeight="1">
      <c r="A28" s="10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3"/>
      <c r="DG28" s="92"/>
      <c r="DH28" s="92"/>
      <c r="DI28" s="92"/>
      <c r="DJ28" s="92"/>
      <c r="DK28" s="92"/>
      <c r="DL28" s="92"/>
      <c r="DM28" s="92"/>
      <c r="DN28" s="92"/>
    </row>
    <row r="29" spans="1:118" s="91" customFormat="1" ht="15.2" customHeight="1">
      <c r="A29" s="104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3"/>
      <c r="DG29" s="92"/>
      <c r="DH29" s="92"/>
      <c r="DI29" s="92"/>
      <c r="DJ29" s="92"/>
      <c r="DK29" s="92"/>
      <c r="DL29" s="92"/>
      <c r="DM29" s="92"/>
      <c r="DN29" s="92"/>
    </row>
    <row r="30" spans="1:118" s="91" customFormat="1" ht="15.2" customHeight="1">
      <c r="A30" s="104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3"/>
      <c r="DG30" s="92"/>
      <c r="DH30" s="92"/>
      <c r="DI30" s="92"/>
      <c r="DJ30" s="92"/>
      <c r="DK30" s="92"/>
      <c r="DL30" s="92"/>
      <c r="DM30" s="92"/>
      <c r="DN30" s="92"/>
    </row>
    <row r="31" spans="1:118" s="91" customFormat="1" ht="15.2" customHeight="1">
      <c r="A31" s="104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154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3"/>
      <c r="DG31" s="92"/>
      <c r="DH31" s="92"/>
      <c r="DI31" s="92"/>
      <c r="DJ31" s="92"/>
      <c r="DK31" s="92"/>
      <c r="DL31" s="92"/>
      <c r="DM31" s="92"/>
      <c r="DN31" s="92"/>
    </row>
    <row r="32" spans="1:118" s="91" customFormat="1" ht="15.2" customHeight="1">
      <c r="A32" s="104"/>
      <c r="B32" s="92"/>
      <c r="C32" s="92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2"/>
      <c r="DE32" s="92"/>
      <c r="DF32" s="93"/>
      <c r="DG32" s="92"/>
      <c r="DH32" s="92"/>
      <c r="DI32" s="92"/>
      <c r="DJ32" s="92"/>
      <c r="DK32" s="92"/>
      <c r="DL32" s="92"/>
      <c r="DM32" s="92"/>
      <c r="DN32" s="92"/>
    </row>
    <row r="33" spans="1:118" s="91" customFormat="1" ht="15.2" customHeight="1">
      <c r="A33" s="104"/>
      <c r="B33" s="92"/>
      <c r="C33" s="92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2"/>
      <c r="DE33" s="92"/>
      <c r="DF33" s="93"/>
      <c r="DG33" s="92"/>
      <c r="DH33" s="92"/>
      <c r="DI33" s="92"/>
      <c r="DJ33" s="92"/>
      <c r="DK33" s="92"/>
      <c r="DL33" s="92"/>
      <c r="DM33" s="92"/>
      <c r="DN33" s="92"/>
    </row>
    <row r="34" spans="1:118" s="91" customFormat="1" ht="15.2" customHeight="1">
      <c r="A34" s="104"/>
      <c r="B34" s="92"/>
      <c r="C34" s="92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2"/>
      <c r="DE34" s="92"/>
      <c r="DF34" s="93"/>
      <c r="DG34" s="92"/>
      <c r="DH34" s="92"/>
      <c r="DI34" s="92"/>
      <c r="DJ34" s="92"/>
      <c r="DK34" s="92"/>
      <c r="DL34" s="92"/>
      <c r="DM34" s="92"/>
      <c r="DN34" s="92"/>
    </row>
    <row r="35" spans="1:118" s="91" customFormat="1" ht="15.2" customHeight="1">
      <c r="A35" s="104"/>
      <c r="B35" s="92"/>
      <c r="C35" s="92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2"/>
      <c r="DE35" s="92"/>
      <c r="DF35" s="93"/>
      <c r="DG35" s="92"/>
      <c r="DH35" s="92"/>
      <c r="DI35" s="92"/>
      <c r="DJ35" s="92"/>
      <c r="DK35" s="92"/>
      <c r="DL35" s="92"/>
      <c r="DM35" s="92"/>
      <c r="DN35" s="92"/>
    </row>
    <row r="36" spans="1:118" s="91" customFormat="1" ht="15.2" customHeight="1">
      <c r="A36" s="104"/>
      <c r="B36" s="92"/>
      <c r="C36" s="92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2"/>
      <c r="DE36" s="92"/>
      <c r="DF36" s="93"/>
      <c r="DG36" s="92"/>
      <c r="DH36" s="92"/>
      <c r="DI36" s="92"/>
      <c r="DJ36" s="92"/>
      <c r="DK36" s="92"/>
      <c r="DL36" s="92"/>
      <c r="DM36" s="92"/>
      <c r="DN36" s="92"/>
    </row>
    <row r="37" spans="1:118" s="91" customFormat="1" ht="15.2" customHeight="1">
      <c r="A37" s="104"/>
      <c r="B37" s="92"/>
      <c r="C37" s="92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94"/>
      <c r="P37" s="407"/>
      <c r="Q37" s="407"/>
      <c r="R37" s="407"/>
      <c r="S37" s="407"/>
      <c r="T37" s="407"/>
      <c r="U37" s="407"/>
      <c r="V37" s="407"/>
      <c r="W37" s="407"/>
      <c r="X37" s="407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2"/>
      <c r="DE37" s="92"/>
      <c r="DF37" s="93"/>
      <c r="DG37" s="92"/>
      <c r="DH37" s="92"/>
      <c r="DI37" s="92"/>
      <c r="DJ37" s="92"/>
      <c r="DK37" s="92"/>
      <c r="DL37" s="92"/>
      <c r="DM37" s="92"/>
      <c r="DN37" s="92"/>
    </row>
    <row r="38" spans="1:118" s="91" customFormat="1" ht="15.2" customHeight="1">
      <c r="A38" s="104"/>
      <c r="B38" s="92"/>
      <c r="C38" s="92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94"/>
      <c r="P38" s="407"/>
      <c r="Q38" s="407"/>
      <c r="R38" s="407"/>
      <c r="S38" s="407"/>
      <c r="T38" s="407"/>
      <c r="U38" s="407"/>
      <c r="V38" s="407"/>
      <c r="W38" s="407"/>
      <c r="X38" s="407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2"/>
      <c r="DE38" s="92"/>
      <c r="DF38" s="93"/>
      <c r="DG38" s="92"/>
      <c r="DH38" s="92"/>
      <c r="DI38" s="92"/>
      <c r="DJ38" s="92"/>
      <c r="DK38" s="92"/>
      <c r="DL38" s="92"/>
      <c r="DM38" s="92"/>
      <c r="DN38" s="92"/>
    </row>
    <row r="39" spans="1:118" s="91" customFormat="1" ht="15.2" customHeight="1">
      <c r="A39" s="104"/>
      <c r="B39" s="92"/>
      <c r="C39" s="92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94"/>
      <c r="P39" s="407"/>
      <c r="Q39" s="407"/>
      <c r="R39" s="407"/>
      <c r="S39" s="407"/>
      <c r="T39" s="407"/>
      <c r="U39" s="407"/>
      <c r="V39" s="407"/>
      <c r="W39" s="407"/>
      <c r="X39" s="407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2"/>
      <c r="DE39" s="92"/>
      <c r="DF39" s="93"/>
      <c r="DG39" s="92"/>
      <c r="DH39" s="92"/>
      <c r="DI39" s="92"/>
      <c r="DJ39" s="92"/>
      <c r="DK39" s="92"/>
      <c r="DL39" s="92"/>
      <c r="DM39" s="92"/>
      <c r="DN39" s="92"/>
    </row>
    <row r="40" spans="1:118" s="91" customFormat="1" ht="15.2" customHeight="1">
      <c r="A40" s="104"/>
      <c r="B40" s="92"/>
      <c r="C40" s="92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92"/>
      <c r="P40" s="407"/>
      <c r="Q40" s="407"/>
      <c r="R40" s="407"/>
      <c r="S40" s="407"/>
      <c r="T40" s="407"/>
      <c r="U40" s="407"/>
      <c r="V40" s="407"/>
      <c r="W40" s="407"/>
      <c r="X40" s="407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3"/>
      <c r="DG40" s="92"/>
      <c r="DH40" s="92"/>
      <c r="DI40" s="92"/>
      <c r="DJ40" s="92"/>
      <c r="DK40" s="92"/>
      <c r="DL40" s="92"/>
      <c r="DM40" s="92"/>
      <c r="DN40" s="92"/>
    </row>
    <row r="41" spans="1:118" s="91" customFormat="1" ht="15.2" customHeight="1">
      <c r="A41" s="104"/>
      <c r="B41" s="92"/>
      <c r="C41" s="92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92"/>
      <c r="P41" s="407"/>
      <c r="Q41" s="407"/>
      <c r="R41" s="407"/>
      <c r="S41" s="407"/>
      <c r="T41" s="407"/>
      <c r="U41" s="407"/>
      <c r="V41" s="407"/>
      <c r="W41" s="407"/>
      <c r="X41" s="407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3"/>
      <c r="DG41" s="92"/>
      <c r="DH41" s="92"/>
      <c r="DI41" s="92"/>
      <c r="DJ41" s="92"/>
      <c r="DK41" s="92"/>
      <c r="DL41" s="92"/>
      <c r="DM41" s="92"/>
      <c r="DN41" s="92"/>
    </row>
    <row r="42" spans="1:118" s="91" customFormat="1" ht="15.2" customHeight="1">
      <c r="A42" s="104"/>
      <c r="B42" s="92"/>
      <c r="C42" s="92"/>
      <c r="D42" s="92"/>
      <c r="E42" s="92"/>
      <c r="F42" s="92"/>
      <c r="G42" s="92"/>
      <c r="H42" s="92"/>
      <c r="I42" s="92"/>
      <c r="J42" s="92"/>
      <c r="K42" s="95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3"/>
      <c r="DG42" s="92"/>
      <c r="DH42" s="92"/>
      <c r="DI42" s="92"/>
      <c r="DJ42" s="92"/>
      <c r="DK42" s="92"/>
      <c r="DL42" s="92"/>
      <c r="DM42" s="92"/>
      <c r="DN42" s="92"/>
    </row>
    <row r="43" spans="1:118" s="91" customFormat="1" ht="15.2" customHeight="1">
      <c r="A43" s="106"/>
      <c r="B43" s="109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6"/>
      <c r="DE43" s="96"/>
      <c r="DF43" s="97"/>
      <c r="DG43" s="92"/>
      <c r="DH43" s="92"/>
      <c r="DI43" s="92"/>
      <c r="DJ43" s="92"/>
      <c r="DK43" s="92"/>
      <c r="DL43" s="92"/>
      <c r="DM43" s="92"/>
      <c r="DN43" s="92"/>
    </row>
    <row r="44" spans="1:118" s="91" customFormat="1" ht="15.2" customHeight="1">
      <c r="A44" s="409"/>
      <c r="B44" s="408"/>
      <c r="C44" s="410"/>
      <c r="D44" s="411"/>
      <c r="E44" s="411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22"/>
      <c r="AL44" s="98"/>
      <c r="AM44" s="99"/>
      <c r="AN44" s="99"/>
      <c r="AO44" s="423"/>
      <c r="AP44" s="423"/>
      <c r="AQ44" s="423"/>
      <c r="AR44" s="423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3"/>
      <c r="BE44" s="423"/>
      <c r="BF44" s="423"/>
      <c r="BG44" s="100"/>
      <c r="BH44" s="100"/>
      <c r="BI44" s="423"/>
      <c r="BJ44" s="423"/>
      <c r="BK44" s="423"/>
      <c r="BL44" s="423"/>
      <c r="BM44" s="423"/>
      <c r="BN44" s="423"/>
      <c r="BO44" s="423"/>
      <c r="BP44" s="423"/>
      <c r="BQ44" s="423"/>
      <c r="BR44" s="423"/>
      <c r="BS44" s="423"/>
      <c r="BT44" s="423"/>
      <c r="BU44" s="423"/>
      <c r="BV44" s="423"/>
      <c r="BW44" s="423"/>
      <c r="BX44" s="423"/>
      <c r="BY44" s="423"/>
      <c r="BZ44" s="423"/>
      <c r="CA44" s="100"/>
      <c r="CB44" s="100"/>
      <c r="CC44" s="90"/>
      <c r="CD44" s="426" t="s">
        <v>150</v>
      </c>
      <c r="CE44" s="427"/>
      <c r="CF44" s="416" t="s">
        <v>160</v>
      </c>
      <c r="CG44" s="416"/>
      <c r="CH44" s="416"/>
      <c r="CI44" s="416"/>
      <c r="CJ44" s="416"/>
      <c r="CK44" s="416"/>
      <c r="CL44" s="416"/>
      <c r="CM44" s="416"/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416"/>
      <c r="CZ44" s="416"/>
      <c r="DA44" s="416"/>
      <c r="DB44" s="416"/>
      <c r="DC44" s="416"/>
      <c r="DD44" s="416"/>
      <c r="DE44" s="416"/>
      <c r="DF44" s="417"/>
      <c r="DG44" s="92"/>
      <c r="DH44" s="92"/>
      <c r="DI44" s="92"/>
      <c r="DJ44" s="92"/>
      <c r="DK44" s="92"/>
      <c r="DL44" s="92"/>
      <c r="DM44" s="92"/>
      <c r="DN44" s="92"/>
    </row>
    <row r="45" spans="1:118" s="91" customFormat="1" ht="15.2" customHeight="1">
      <c r="A45" s="428"/>
      <c r="B45" s="414"/>
      <c r="C45" s="429"/>
      <c r="D45" s="414"/>
      <c r="E45" s="414"/>
      <c r="F45" s="414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5"/>
      <c r="AL45" s="101"/>
      <c r="AM45" s="102"/>
      <c r="AN45" s="102"/>
      <c r="AO45" s="424"/>
      <c r="AP45" s="424"/>
      <c r="AQ45" s="424"/>
      <c r="AR45" s="424"/>
      <c r="AS45" s="424"/>
      <c r="AT45" s="424"/>
      <c r="AU45" s="424"/>
      <c r="AV45" s="424"/>
      <c r="AW45" s="424"/>
      <c r="AX45" s="424"/>
      <c r="AY45" s="424"/>
      <c r="AZ45" s="424"/>
      <c r="BA45" s="424"/>
      <c r="BB45" s="424"/>
      <c r="BC45" s="424"/>
      <c r="BD45" s="424"/>
      <c r="BE45" s="424"/>
      <c r="BF45" s="424"/>
      <c r="BG45" s="103"/>
      <c r="BH45" s="103"/>
      <c r="BI45" s="424"/>
      <c r="BJ45" s="424"/>
      <c r="BK45" s="424"/>
      <c r="BL45" s="424"/>
      <c r="BM45" s="424"/>
      <c r="BN45" s="424"/>
      <c r="BO45" s="424"/>
      <c r="BP45" s="424"/>
      <c r="BQ45" s="424"/>
      <c r="BR45" s="424"/>
      <c r="BS45" s="424"/>
      <c r="BT45" s="424"/>
      <c r="BU45" s="424"/>
      <c r="BV45" s="424"/>
      <c r="BW45" s="424"/>
      <c r="BX45" s="424"/>
      <c r="BY45" s="424"/>
      <c r="BZ45" s="424"/>
      <c r="CA45" s="103"/>
      <c r="CB45" s="103"/>
      <c r="CC45" s="93"/>
      <c r="CD45" s="104"/>
      <c r="CE45" s="105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8"/>
      <c r="CX45" s="418"/>
      <c r="CY45" s="418"/>
      <c r="CZ45" s="418"/>
      <c r="DA45" s="418"/>
      <c r="DB45" s="418"/>
      <c r="DC45" s="418"/>
      <c r="DD45" s="418"/>
      <c r="DE45" s="418"/>
      <c r="DF45" s="419"/>
      <c r="DG45" s="92"/>
      <c r="DH45" s="92"/>
      <c r="DI45" s="92"/>
      <c r="DJ45" s="92"/>
      <c r="DK45" s="92"/>
      <c r="DL45" s="92"/>
      <c r="DM45" s="92"/>
      <c r="DN45" s="92"/>
    </row>
    <row r="46" spans="1:118" s="91" customFormat="1" ht="15.2" customHeight="1">
      <c r="A46" s="428"/>
      <c r="B46" s="414"/>
      <c r="C46" s="433"/>
      <c r="D46" s="434"/>
      <c r="E46" s="434"/>
      <c r="F46" s="435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2"/>
      <c r="AL46" s="101"/>
      <c r="AM46" s="102"/>
      <c r="AN46" s="102"/>
      <c r="AO46" s="424"/>
      <c r="AP46" s="424"/>
      <c r="AQ46" s="424"/>
      <c r="AR46" s="424"/>
      <c r="AS46" s="424"/>
      <c r="AT46" s="424"/>
      <c r="AU46" s="424"/>
      <c r="AV46" s="424"/>
      <c r="AW46" s="424"/>
      <c r="AX46" s="424"/>
      <c r="AY46" s="424"/>
      <c r="AZ46" s="424"/>
      <c r="BA46" s="424"/>
      <c r="BB46" s="424"/>
      <c r="BC46" s="424"/>
      <c r="BD46" s="424"/>
      <c r="BE46" s="424"/>
      <c r="BF46" s="424"/>
      <c r="BG46" s="103"/>
      <c r="BH46" s="103"/>
      <c r="BI46" s="424"/>
      <c r="BJ46" s="424"/>
      <c r="BK46" s="424"/>
      <c r="BL46" s="424"/>
      <c r="BM46" s="424"/>
      <c r="BN46" s="424"/>
      <c r="BO46" s="424"/>
      <c r="BP46" s="424"/>
      <c r="BQ46" s="424"/>
      <c r="BR46" s="424"/>
      <c r="BS46" s="424"/>
      <c r="BT46" s="424"/>
      <c r="BU46" s="424"/>
      <c r="BV46" s="424"/>
      <c r="BW46" s="424"/>
      <c r="BX46" s="424"/>
      <c r="BY46" s="424"/>
      <c r="BZ46" s="424"/>
      <c r="CA46" s="103"/>
      <c r="CB46" s="103"/>
      <c r="CC46" s="93"/>
      <c r="CD46" s="104"/>
      <c r="CE46" s="105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8"/>
      <c r="DA46" s="418"/>
      <c r="DB46" s="418"/>
      <c r="DC46" s="418"/>
      <c r="DD46" s="418"/>
      <c r="DE46" s="418"/>
      <c r="DF46" s="419"/>
      <c r="DG46" s="92"/>
      <c r="DH46" s="92"/>
      <c r="DI46" s="92"/>
      <c r="DJ46" s="92"/>
      <c r="DK46" s="92"/>
      <c r="DL46" s="92"/>
      <c r="DM46" s="92"/>
      <c r="DN46" s="92"/>
    </row>
    <row r="47" spans="1:118" s="91" customFormat="1" ht="15.2" customHeight="1">
      <c r="A47" s="436"/>
      <c r="B47" s="431"/>
      <c r="C47" s="433"/>
      <c r="D47" s="434"/>
      <c r="E47" s="434"/>
      <c r="F47" s="435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2"/>
      <c r="AL47" s="101"/>
      <c r="AM47" s="102"/>
      <c r="AN47" s="102"/>
      <c r="AO47" s="424"/>
      <c r="AP47" s="424"/>
      <c r="AQ47" s="424"/>
      <c r="AR47" s="424"/>
      <c r="AS47" s="424"/>
      <c r="AT47" s="424"/>
      <c r="AU47" s="424"/>
      <c r="AV47" s="424"/>
      <c r="AW47" s="424"/>
      <c r="AX47" s="424"/>
      <c r="AY47" s="424"/>
      <c r="AZ47" s="424"/>
      <c r="BA47" s="424"/>
      <c r="BB47" s="424"/>
      <c r="BC47" s="424"/>
      <c r="BD47" s="424"/>
      <c r="BE47" s="424"/>
      <c r="BF47" s="424"/>
      <c r="BG47" s="103"/>
      <c r="BH47" s="103"/>
      <c r="BI47" s="424"/>
      <c r="BJ47" s="424"/>
      <c r="BK47" s="424"/>
      <c r="BL47" s="424"/>
      <c r="BM47" s="424"/>
      <c r="BN47" s="424"/>
      <c r="BO47" s="424"/>
      <c r="BP47" s="424"/>
      <c r="BQ47" s="424"/>
      <c r="BR47" s="424"/>
      <c r="BS47" s="424"/>
      <c r="BT47" s="424"/>
      <c r="BU47" s="424"/>
      <c r="BV47" s="424"/>
      <c r="BW47" s="424"/>
      <c r="BX47" s="424"/>
      <c r="BY47" s="424"/>
      <c r="BZ47" s="424"/>
      <c r="CA47" s="103"/>
      <c r="CB47" s="103"/>
      <c r="CC47" s="93"/>
      <c r="CD47" s="106"/>
      <c r="CE47" s="107"/>
      <c r="CF47" s="420"/>
      <c r="CG47" s="420"/>
      <c r="CH47" s="420"/>
      <c r="CI47" s="420"/>
      <c r="CJ47" s="420"/>
      <c r="CK47" s="420"/>
      <c r="CL47" s="420"/>
      <c r="CM47" s="420"/>
      <c r="CN47" s="420"/>
      <c r="CO47" s="420"/>
      <c r="CP47" s="420"/>
      <c r="CQ47" s="420"/>
      <c r="CR47" s="420"/>
      <c r="CS47" s="420"/>
      <c r="CT47" s="420"/>
      <c r="CU47" s="420"/>
      <c r="CV47" s="420"/>
      <c r="CW47" s="420"/>
      <c r="CX47" s="420"/>
      <c r="CY47" s="420"/>
      <c r="CZ47" s="420"/>
      <c r="DA47" s="420"/>
      <c r="DB47" s="420"/>
      <c r="DC47" s="420"/>
      <c r="DD47" s="420"/>
      <c r="DE47" s="420"/>
      <c r="DF47" s="421"/>
      <c r="DG47" s="92"/>
      <c r="DH47" s="92"/>
      <c r="DI47" s="92"/>
      <c r="DJ47" s="92"/>
      <c r="DK47" s="92"/>
      <c r="DL47" s="92"/>
      <c r="DM47" s="92"/>
      <c r="DN47" s="92"/>
    </row>
    <row r="48" spans="1:118" s="91" customFormat="1" ht="15.2" customHeight="1">
      <c r="A48" s="443" t="s">
        <v>151</v>
      </c>
      <c r="B48" s="444"/>
      <c r="C48" s="445" t="s">
        <v>164</v>
      </c>
      <c r="D48" s="446"/>
      <c r="E48" s="446"/>
      <c r="F48" s="447"/>
      <c r="G48" s="448" t="s">
        <v>161</v>
      </c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4" t="s">
        <v>162</v>
      </c>
      <c r="AA48" s="444"/>
      <c r="AB48" s="444"/>
      <c r="AC48" s="444"/>
      <c r="AD48" s="444" t="s">
        <v>162</v>
      </c>
      <c r="AE48" s="444"/>
      <c r="AF48" s="444"/>
      <c r="AG48" s="444"/>
      <c r="AH48" s="444" t="s">
        <v>163</v>
      </c>
      <c r="AI48" s="444"/>
      <c r="AJ48" s="444"/>
      <c r="AK48" s="449"/>
      <c r="AL48" s="108"/>
      <c r="AM48" s="92"/>
      <c r="AN48" s="92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103"/>
      <c r="BH48" s="103"/>
      <c r="BI48" s="424"/>
      <c r="BJ48" s="424"/>
      <c r="BK48" s="424"/>
      <c r="BL48" s="424"/>
      <c r="BM48" s="424"/>
      <c r="BN48" s="424"/>
      <c r="BO48" s="424"/>
      <c r="BP48" s="424"/>
      <c r="BQ48" s="424"/>
      <c r="BR48" s="424"/>
      <c r="BS48" s="424"/>
      <c r="BT48" s="424"/>
      <c r="BU48" s="424"/>
      <c r="BV48" s="424"/>
      <c r="BW48" s="424"/>
      <c r="BX48" s="424"/>
      <c r="BY48" s="424"/>
      <c r="BZ48" s="424"/>
      <c r="CA48" s="103"/>
      <c r="CB48" s="103"/>
      <c r="CC48" s="93"/>
      <c r="CD48" s="426" t="s">
        <v>152</v>
      </c>
      <c r="CE48" s="427"/>
      <c r="CF48" s="427"/>
      <c r="CG48" s="427"/>
      <c r="CH48" s="427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439"/>
      <c r="DA48" s="439"/>
      <c r="DB48" s="439"/>
      <c r="DC48" s="439"/>
      <c r="DD48" s="439"/>
      <c r="DE48" s="439"/>
      <c r="DF48" s="440"/>
      <c r="DG48" s="92"/>
      <c r="DH48" s="92"/>
      <c r="DI48" s="92"/>
      <c r="DJ48" s="92"/>
      <c r="DK48" s="92"/>
      <c r="DL48" s="92"/>
      <c r="DM48" s="92"/>
      <c r="DN48" s="92"/>
    </row>
    <row r="49" spans="1:118" s="91" customFormat="1" ht="15.2" customHeight="1">
      <c r="A49" s="450" t="s">
        <v>153</v>
      </c>
      <c r="B49" s="437"/>
      <c r="C49" s="437" t="s">
        <v>154</v>
      </c>
      <c r="D49" s="437"/>
      <c r="E49" s="437"/>
      <c r="F49" s="437"/>
      <c r="G49" s="451" t="s">
        <v>155</v>
      </c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37" t="s">
        <v>156</v>
      </c>
      <c r="AA49" s="437"/>
      <c r="AB49" s="437"/>
      <c r="AC49" s="437"/>
      <c r="AD49" s="437" t="s">
        <v>157</v>
      </c>
      <c r="AE49" s="437"/>
      <c r="AF49" s="437"/>
      <c r="AG49" s="437"/>
      <c r="AH49" s="437" t="s">
        <v>158</v>
      </c>
      <c r="AI49" s="437"/>
      <c r="AJ49" s="437"/>
      <c r="AK49" s="438"/>
      <c r="AL49" s="106"/>
      <c r="AM49" s="109"/>
      <c r="AN49" s="109"/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110"/>
      <c r="BH49" s="110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110"/>
      <c r="CB49" s="110"/>
      <c r="CC49" s="111"/>
      <c r="CD49" s="106"/>
      <c r="CE49" s="109"/>
      <c r="CF49" s="109"/>
      <c r="CG49" s="109"/>
      <c r="CH49" s="112"/>
      <c r="CI49" s="441"/>
      <c r="CJ49" s="441"/>
      <c r="CK49" s="441"/>
      <c r="CL49" s="441"/>
      <c r="CM49" s="441"/>
      <c r="CN49" s="441"/>
      <c r="CO49" s="441"/>
      <c r="CP49" s="441"/>
      <c r="CQ49" s="441"/>
      <c r="CR49" s="441"/>
      <c r="CS49" s="441"/>
      <c r="CT49" s="441"/>
      <c r="CU49" s="441"/>
      <c r="CV49" s="441"/>
      <c r="CW49" s="441"/>
      <c r="CX49" s="441"/>
      <c r="CY49" s="441"/>
      <c r="CZ49" s="441"/>
      <c r="DA49" s="441"/>
      <c r="DB49" s="441"/>
      <c r="DC49" s="441"/>
      <c r="DD49" s="441"/>
      <c r="DE49" s="441"/>
      <c r="DF49" s="442"/>
      <c r="DG49" s="249"/>
      <c r="DH49" s="92"/>
      <c r="DI49" s="92"/>
      <c r="DJ49" s="92"/>
      <c r="DK49" s="92"/>
      <c r="DL49" s="92"/>
      <c r="DM49" s="92"/>
      <c r="DN49" s="92"/>
    </row>
    <row r="50" spans="1:118" s="245" customFormat="1" ht="15" customHeight="1">
      <c r="A50" s="244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</row>
    <row r="51" spans="1:118" s="245" customFormat="1" ht="15" hidden="1" customHeight="1">
      <c r="A51" s="247"/>
      <c r="C51" s="248"/>
    </row>
    <row r="52" spans="1:118" s="245" customFormat="1" ht="15" hidden="1" customHeight="1">
      <c r="F52" s="248"/>
      <c r="DA52" s="247"/>
    </row>
    <row r="53" spans="1:118" s="245" customFormat="1" ht="15" hidden="1" customHeight="1">
      <c r="C53" s="248"/>
    </row>
    <row r="54" spans="1:118" s="245" customFormat="1" ht="15" hidden="1" customHeight="1"/>
    <row r="55" spans="1:118" s="245" customFormat="1" ht="15" hidden="1" customHeight="1"/>
    <row r="56" spans="1:118" s="245" customFormat="1" ht="15" hidden="1" customHeight="1"/>
    <row r="57" spans="1:118" s="245" customFormat="1" ht="15" hidden="1" customHeight="1"/>
    <row r="58" spans="1:118" s="245" customFormat="1" ht="15" hidden="1" customHeight="1"/>
    <row r="59" spans="1:118" s="245" customFormat="1" ht="15" hidden="1" customHeight="1"/>
    <row r="60" spans="1:118" s="245" customFormat="1" ht="15" hidden="1" customHeight="1"/>
    <row r="61" spans="1:118" s="245" customFormat="1" ht="15" hidden="1" customHeight="1"/>
    <row r="62" spans="1:118" s="245" customFormat="1" ht="15" hidden="1" customHeight="1"/>
    <row r="63" spans="1:118" s="245" customFormat="1" ht="15" hidden="1" customHeight="1"/>
    <row r="64" spans="1:118" s="245" customFormat="1" ht="15" hidden="1" customHeight="1"/>
    <row r="65" s="245" customFormat="1" ht="15" hidden="1" customHeight="1"/>
    <row r="66" s="245" customFormat="1" ht="15" hidden="1" customHeight="1"/>
    <row r="67" s="245" customFormat="1" ht="15" hidden="1" customHeight="1"/>
    <row r="68" s="245" customFormat="1" ht="15" hidden="1" customHeight="1"/>
    <row r="69" s="245" customFormat="1" ht="15" hidden="1" customHeight="1"/>
    <row r="70" s="245" customFormat="1" ht="15" hidden="1" customHeight="1"/>
    <row r="71" s="245" customFormat="1" ht="15" hidden="1" customHeight="1"/>
    <row r="72" s="245" customFormat="1" ht="15" hidden="1" customHeight="1"/>
    <row r="73" s="245" customFormat="1" ht="15" hidden="1" customHeight="1"/>
    <row r="74" s="245" customFormat="1" ht="15" hidden="1" customHeight="1"/>
    <row r="75" s="245" customFormat="1" ht="15" hidden="1" customHeight="1"/>
    <row r="76" s="245" customFormat="1" ht="15" hidden="1" customHeight="1"/>
    <row r="77" s="245" customFormat="1" ht="15" hidden="1" customHeight="1"/>
    <row r="78" s="245" customFormat="1" ht="15" customHeight="1"/>
  </sheetData>
  <mergeCells count="56">
    <mergeCell ref="AH49:AK49"/>
    <mergeCell ref="CI48:DF49"/>
    <mergeCell ref="A48:B48"/>
    <mergeCell ref="C48:F48"/>
    <mergeCell ref="G48:Y48"/>
    <mergeCell ref="Z48:AC48"/>
    <mergeCell ref="AD48:AG48"/>
    <mergeCell ref="AH48:AK48"/>
    <mergeCell ref="A49:B49"/>
    <mergeCell ref="C49:F49"/>
    <mergeCell ref="G49:Y49"/>
    <mergeCell ref="Z49:AC49"/>
    <mergeCell ref="AD49:AG49"/>
    <mergeCell ref="AH47:AK47"/>
    <mergeCell ref="A46:B46"/>
    <mergeCell ref="C46:F46"/>
    <mergeCell ref="G46:Y46"/>
    <mergeCell ref="Z46:AC46"/>
    <mergeCell ref="AD46:AG46"/>
    <mergeCell ref="AH46:AK46"/>
    <mergeCell ref="A47:B47"/>
    <mergeCell ref="C47:F47"/>
    <mergeCell ref="G47:Y47"/>
    <mergeCell ref="Z47:AC47"/>
    <mergeCell ref="AD47:AG47"/>
    <mergeCell ref="A44:B44"/>
    <mergeCell ref="C44:F44"/>
    <mergeCell ref="G44:Y44"/>
    <mergeCell ref="AH45:AK45"/>
    <mergeCell ref="CF44:DF47"/>
    <mergeCell ref="AD44:AG44"/>
    <mergeCell ref="AH44:AK44"/>
    <mergeCell ref="AO44:BF49"/>
    <mergeCell ref="BI44:BZ49"/>
    <mergeCell ref="CD44:CE44"/>
    <mergeCell ref="CD48:CH48"/>
    <mergeCell ref="A45:B45"/>
    <mergeCell ref="C45:F45"/>
    <mergeCell ref="G45:Y45"/>
    <mergeCell ref="Z45:AC45"/>
    <mergeCell ref="AD45:AG45"/>
    <mergeCell ref="Z44:AC44"/>
    <mergeCell ref="D38:N38"/>
    <mergeCell ref="P38:X38"/>
    <mergeCell ref="D39:N39"/>
    <mergeCell ref="P39:X39"/>
    <mergeCell ref="D40:N40"/>
    <mergeCell ref="P40:X40"/>
    <mergeCell ref="D41:N41"/>
    <mergeCell ref="P41:X41"/>
    <mergeCell ref="D13:DC18"/>
    <mergeCell ref="D21:DC22"/>
    <mergeCell ref="D23:DC24"/>
    <mergeCell ref="D25:DC26"/>
    <mergeCell ref="D37:N37"/>
    <mergeCell ref="P37:X37"/>
  </mergeCells>
  <pageMargins left="0.78740157480314965" right="0.39370078740157483" top="0.98425196850393704" bottom="0.59055118110236227" header="0.51181102362204722" footer="0.19685039370078741"/>
  <pageSetup paperSize="261" fitToHeight="0" orientation="landscape" r:id="rId1"/>
  <headerFooter scaleWithDoc="0">
    <oddFooter>&amp;L&amp;"Verdana,Italic"3.0.1206-TP.001.EN&amp;R&amp;"Verdana,Regular"Page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7" workbookViewId="0">
      <selection activeCell="N4" sqref="N4"/>
    </sheetView>
  </sheetViews>
  <sheetFormatPr defaultColWidth="0" defaultRowHeight="15" zeroHeight="1"/>
  <cols>
    <col min="1" max="1" width="9.140625" style="115" customWidth="1"/>
    <col min="2" max="2" width="19.28515625" style="115" customWidth="1"/>
    <col min="3" max="13" width="9.140625" style="115" customWidth="1"/>
    <col min="14" max="14" width="36.42578125" style="115" customWidth="1"/>
    <col min="15" max="18" width="9.140625" style="115" customWidth="1"/>
    <col min="19" max="16384" width="9.140625" hidden="1"/>
  </cols>
  <sheetData>
    <row r="1" spans="1:18"/>
    <row r="2" spans="1:18"/>
    <row r="3" spans="1:18"/>
    <row r="4" spans="1:18"/>
    <row r="5" spans="1:18"/>
    <row r="6" spans="1:18">
      <c r="R6" s="384"/>
    </row>
    <row r="7" spans="1:18" s="125" customFormat="1" ht="19.899999999999999" customHeight="1">
      <c r="A7" s="155" t="s">
        <v>203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55"/>
      <c r="N7" s="133"/>
      <c r="O7" s="133"/>
      <c r="P7" s="133"/>
      <c r="Q7" s="134"/>
      <c r="R7" s="138"/>
    </row>
    <row r="8" spans="1:18" s="125" customFormat="1" ht="19.899999999999999" customHeight="1">
      <c r="A8" s="137"/>
      <c r="B8" s="138"/>
      <c r="C8" s="138"/>
      <c r="D8" s="138"/>
      <c r="E8" s="153"/>
      <c r="F8" s="138"/>
      <c r="G8" s="138"/>
      <c r="H8" s="138"/>
      <c r="I8" s="138"/>
      <c r="J8" s="138"/>
      <c r="K8" s="138"/>
      <c r="L8" s="138"/>
      <c r="M8" s="137"/>
      <c r="N8" s="138"/>
      <c r="O8" s="138"/>
      <c r="P8" s="138"/>
      <c r="Q8" s="153"/>
      <c r="R8" s="138"/>
    </row>
    <row r="9" spans="1:18" s="129" customFormat="1" ht="19.149999999999999" customHeight="1">
      <c r="A9" s="126" t="s">
        <v>186</v>
      </c>
      <c r="B9" s="132" t="s">
        <v>190</v>
      </c>
      <c r="C9" s="127"/>
      <c r="D9" s="127"/>
      <c r="E9" s="144"/>
      <c r="F9" s="135" t="s">
        <v>201</v>
      </c>
      <c r="G9" s="132" t="s">
        <v>199</v>
      </c>
      <c r="H9" s="127"/>
      <c r="I9" s="127"/>
      <c r="J9" s="130"/>
      <c r="K9" s="135"/>
      <c r="L9" s="140"/>
      <c r="M9" s="126" t="s">
        <v>398</v>
      </c>
      <c r="N9" s="132" t="s">
        <v>389</v>
      </c>
      <c r="O9" s="127"/>
      <c r="P9" s="127"/>
      <c r="Q9" s="144"/>
      <c r="R9" s="127"/>
    </row>
    <row r="10" spans="1:18" s="129" customFormat="1" ht="19.149999999999999" customHeight="1">
      <c r="A10" s="126"/>
      <c r="B10" s="127" t="s">
        <v>195</v>
      </c>
      <c r="C10" s="127"/>
      <c r="D10" s="127"/>
      <c r="E10" s="128"/>
      <c r="F10" s="135"/>
      <c r="G10" s="141" t="s">
        <v>189</v>
      </c>
      <c r="H10" s="141" t="s">
        <v>200</v>
      </c>
      <c r="I10" s="142"/>
      <c r="J10" s="143"/>
      <c r="K10" s="135"/>
      <c r="L10" s="136"/>
      <c r="M10" s="126"/>
      <c r="N10" s="389" t="s">
        <v>3</v>
      </c>
      <c r="O10" s="127"/>
      <c r="P10" s="127"/>
      <c r="Q10" s="128"/>
      <c r="R10" s="127"/>
    </row>
    <row r="11" spans="1:18" s="129" customFormat="1" ht="19.149999999999999" customHeight="1">
      <c r="A11" s="126"/>
      <c r="B11" s="127" t="s">
        <v>196</v>
      </c>
      <c r="C11" s="127"/>
      <c r="D11" s="127"/>
      <c r="E11" s="128"/>
      <c r="F11" s="135"/>
      <c r="G11" s="146">
        <v>1</v>
      </c>
      <c r="H11" s="458">
        <v>1</v>
      </c>
      <c r="I11" s="459"/>
      <c r="J11" s="460"/>
      <c r="K11" s="135"/>
      <c r="L11" s="136"/>
      <c r="M11" s="126"/>
      <c r="N11" s="115" t="s">
        <v>410</v>
      </c>
      <c r="O11" s="127"/>
      <c r="P11" s="127"/>
      <c r="Q11" s="128"/>
      <c r="R11" s="127"/>
    </row>
    <row r="12" spans="1:18" s="129" customFormat="1" ht="19.149999999999999" customHeight="1">
      <c r="A12" s="126"/>
      <c r="B12" s="127" t="s">
        <v>191</v>
      </c>
      <c r="C12" s="127"/>
      <c r="D12" s="127"/>
      <c r="E12" s="128"/>
      <c r="F12" s="135"/>
      <c r="G12" s="147">
        <v>2</v>
      </c>
      <c r="H12" s="455" t="s">
        <v>187</v>
      </c>
      <c r="I12" s="456"/>
      <c r="J12" s="457"/>
      <c r="K12" s="135"/>
      <c r="L12" s="136"/>
      <c r="M12" s="126"/>
      <c r="N12" s="115" t="s">
        <v>411</v>
      </c>
      <c r="O12" s="127"/>
      <c r="P12" s="127"/>
      <c r="Q12" s="128"/>
      <c r="R12" s="127"/>
    </row>
    <row r="13" spans="1:18" s="129" customFormat="1" ht="19.149999999999999" customHeight="1">
      <c r="A13" s="126"/>
      <c r="B13" s="127" t="s">
        <v>192</v>
      </c>
      <c r="C13" s="127"/>
      <c r="D13" s="127"/>
      <c r="E13" s="128"/>
      <c r="F13" s="135"/>
      <c r="G13" s="148">
        <v>3</v>
      </c>
      <c r="H13" s="461" t="s">
        <v>188</v>
      </c>
      <c r="I13" s="462"/>
      <c r="J13" s="463"/>
      <c r="K13" s="135"/>
      <c r="L13" s="136"/>
      <c r="M13" s="126"/>
      <c r="N13" s="115" t="s">
        <v>390</v>
      </c>
      <c r="O13" s="127"/>
      <c r="P13" s="127"/>
      <c r="Q13" s="128"/>
      <c r="R13" s="127"/>
    </row>
    <row r="14" spans="1:18" s="129" customFormat="1" ht="19.149999999999999" customHeight="1">
      <c r="A14" s="126"/>
      <c r="B14" s="127" t="s">
        <v>193</v>
      </c>
      <c r="C14" s="127"/>
      <c r="D14" s="127"/>
      <c r="E14" s="128"/>
      <c r="F14" s="127"/>
      <c r="G14" s="127"/>
      <c r="H14" s="127"/>
      <c r="I14" s="127"/>
      <c r="J14" s="136"/>
      <c r="K14" s="135"/>
      <c r="L14" s="136"/>
      <c r="M14" s="126"/>
      <c r="O14" s="127"/>
      <c r="P14" s="127"/>
      <c r="Q14" s="128"/>
      <c r="R14" s="127"/>
    </row>
    <row r="15" spans="1:18" s="129" customFormat="1" ht="19.149999999999999" customHeight="1">
      <c r="A15" s="126"/>
      <c r="B15" s="127" t="s">
        <v>194</v>
      </c>
      <c r="C15" s="127"/>
      <c r="D15" s="127"/>
      <c r="E15" s="128"/>
      <c r="F15" s="127"/>
      <c r="G15" s="127"/>
      <c r="H15" s="127"/>
      <c r="I15" s="127"/>
      <c r="J15" s="136"/>
      <c r="K15" s="135"/>
      <c r="L15" s="136"/>
      <c r="M15" s="126"/>
      <c r="N15" s="389" t="s">
        <v>4</v>
      </c>
      <c r="O15" s="127"/>
      <c r="P15" s="127"/>
      <c r="Q15" s="128"/>
      <c r="R15" s="127"/>
    </row>
    <row r="16" spans="1:18" s="129" customFormat="1" ht="19.149999999999999" customHeight="1">
      <c r="A16" s="126"/>
      <c r="B16" s="127" t="s">
        <v>197</v>
      </c>
      <c r="C16" s="127"/>
      <c r="D16" s="127"/>
      <c r="E16" s="128"/>
      <c r="F16" s="127"/>
      <c r="G16" s="127"/>
      <c r="H16" s="127"/>
      <c r="I16" s="127"/>
      <c r="J16" s="136"/>
      <c r="K16" s="135"/>
      <c r="L16" s="136"/>
      <c r="M16" s="126"/>
      <c r="N16" s="115" t="s">
        <v>391</v>
      </c>
      <c r="O16" s="127"/>
      <c r="P16" s="127"/>
      <c r="Q16" s="128"/>
      <c r="R16" s="127"/>
    </row>
    <row r="17" spans="1:18" s="129" customFormat="1" ht="19.149999999999999" customHeight="1">
      <c r="A17" s="126"/>
      <c r="B17" s="127" t="s">
        <v>198</v>
      </c>
      <c r="C17" s="127"/>
      <c r="D17" s="127"/>
      <c r="E17" s="128"/>
      <c r="F17" s="127"/>
      <c r="G17" s="127"/>
      <c r="H17" s="127"/>
      <c r="I17" s="127"/>
      <c r="J17" s="136"/>
      <c r="K17" s="135"/>
      <c r="L17" s="136"/>
      <c r="M17" s="126"/>
      <c r="N17" s="115" t="s">
        <v>412</v>
      </c>
      <c r="O17" s="127"/>
      <c r="P17" s="127"/>
      <c r="Q17" s="128"/>
      <c r="R17" s="127"/>
    </row>
    <row r="18" spans="1:18" s="129" customFormat="1" ht="19.149999999999999" customHeight="1">
      <c r="A18" s="126"/>
      <c r="B18" s="127"/>
      <c r="C18" s="127"/>
      <c r="D18" s="127"/>
      <c r="E18" s="128"/>
      <c r="F18" s="127"/>
      <c r="G18" s="127"/>
      <c r="H18" s="127"/>
      <c r="I18" s="127"/>
      <c r="J18" s="136"/>
      <c r="K18" s="135"/>
      <c r="L18" s="136"/>
      <c r="M18" s="126"/>
      <c r="N18" s="115"/>
      <c r="O18" s="127"/>
      <c r="P18" s="127"/>
      <c r="Q18" s="128"/>
      <c r="R18" s="127"/>
    </row>
    <row r="19" spans="1:18" s="129" customFormat="1" ht="19.149999999999999" customHeight="1">
      <c r="A19" s="150"/>
      <c r="B19" s="145"/>
      <c r="C19" s="145"/>
      <c r="D19" s="145"/>
      <c r="E19" s="152"/>
      <c r="F19" s="145"/>
      <c r="G19" s="145"/>
      <c r="H19" s="145"/>
      <c r="I19" s="145"/>
      <c r="J19" s="145"/>
      <c r="K19" s="151"/>
      <c r="L19" s="145"/>
      <c r="M19" s="126"/>
      <c r="N19" s="389" t="s">
        <v>5</v>
      </c>
      <c r="O19" s="136"/>
      <c r="P19" s="136"/>
      <c r="Q19" s="128"/>
      <c r="R19" s="127"/>
    </row>
    <row r="20" spans="1:18" s="129" customFormat="1" ht="19.149999999999999" customHeight="1">
      <c r="A20" s="127"/>
      <c r="B20" s="127"/>
      <c r="C20" s="127"/>
      <c r="D20" s="127"/>
      <c r="E20" s="127"/>
      <c r="F20" s="127"/>
      <c r="G20" s="131"/>
      <c r="H20" s="131"/>
      <c r="I20" s="127"/>
      <c r="J20" s="139"/>
      <c r="K20" s="135"/>
      <c r="L20" s="140"/>
      <c r="M20" s="382"/>
      <c r="N20" s="115" t="s">
        <v>392</v>
      </c>
      <c r="O20" s="127"/>
      <c r="P20" s="127"/>
      <c r="Q20" s="128"/>
      <c r="R20" s="127"/>
    </row>
    <row r="21" spans="1:18" s="129" customFormat="1" ht="19.149999999999999" customHeight="1">
      <c r="A21" s="126" t="s">
        <v>202</v>
      </c>
      <c r="B21" s="132" t="s">
        <v>204</v>
      </c>
      <c r="C21" s="127"/>
      <c r="D21" s="127"/>
      <c r="E21" s="149"/>
      <c r="F21" s="127"/>
      <c r="G21" s="131"/>
      <c r="H21" s="131"/>
      <c r="I21" s="127"/>
      <c r="J21" s="139"/>
      <c r="K21" s="135"/>
      <c r="L21" s="140"/>
      <c r="M21" s="126"/>
      <c r="N21" s="115" t="s">
        <v>403</v>
      </c>
      <c r="O21" s="127"/>
      <c r="P21" s="127"/>
      <c r="Q21" s="128"/>
      <c r="R21" s="127"/>
    </row>
    <row r="22" spans="1:18">
      <c r="M22" s="383"/>
      <c r="O22" s="384"/>
      <c r="P22" s="384"/>
      <c r="Q22" s="128"/>
    </row>
    <row r="23" spans="1:18">
      <c r="M23" s="383"/>
      <c r="N23" s="389" t="s">
        <v>6</v>
      </c>
      <c r="O23" s="384"/>
      <c r="P23" s="384"/>
      <c r="Q23" s="128"/>
    </row>
    <row r="24" spans="1:18">
      <c r="C24" s="116" t="s">
        <v>165</v>
      </c>
      <c r="D24" s="116" t="s">
        <v>166</v>
      </c>
      <c r="E24" s="116" t="s">
        <v>167</v>
      </c>
      <c r="F24" s="116" t="s">
        <v>168</v>
      </c>
      <c r="G24" s="116" t="s">
        <v>169</v>
      </c>
      <c r="H24" s="116" t="s">
        <v>170</v>
      </c>
      <c r="I24" s="116" t="s">
        <v>171</v>
      </c>
      <c r="J24" s="116" t="s">
        <v>172</v>
      </c>
      <c r="M24" s="383"/>
      <c r="N24" s="115" t="s">
        <v>404</v>
      </c>
      <c r="O24" s="385"/>
      <c r="P24" s="385"/>
      <c r="Q24" s="128"/>
    </row>
    <row r="25" spans="1:18">
      <c r="B25" s="452" t="s">
        <v>208</v>
      </c>
      <c r="C25" s="453"/>
      <c r="D25" s="453"/>
      <c r="E25" s="453"/>
      <c r="F25" s="453"/>
      <c r="G25" s="453"/>
      <c r="H25" s="453"/>
      <c r="I25" s="453"/>
      <c r="J25" s="454"/>
      <c r="M25" s="383"/>
      <c r="N25" s="115" t="s">
        <v>236</v>
      </c>
      <c r="O25" s="388"/>
      <c r="P25" s="388"/>
      <c r="Q25" s="128"/>
    </row>
    <row r="26" spans="1:18">
      <c r="B26" s="117" t="s">
        <v>173</v>
      </c>
      <c r="C26" s="117">
        <v>0</v>
      </c>
      <c r="D26" s="117">
        <v>0</v>
      </c>
      <c r="E26" s="117">
        <v>3</v>
      </c>
      <c r="F26" s="117">
        <v>0</v>
      </c>
      <c r="G26" s="118">
        <v>1</v>
      </c>
      <c r="H26" s="118">
        <v>2</v>
      </c>
      <c r="I26" s="118">
        <v>3</v>
      </c>
      <c r="J26" s="118">
        <v>4</v>
      </c>
      <c r="M26" s="383"/>
      <c r="O26" s="384"/>
      <c r="P26" s="384"/>
      <c r="Q26" s="128"/>
    </row>
    <row r="27" spans="1:18">
      <c r="B27" s="119" t="s">
        <v>174</v>
      </c>
      <c r="C27" s="119">
        <v>0</v>
      </c>
      <c r="D27" s="119">
        <v>0</v>
      </c>
      <c r="E27" s="119">
        <v>0</v>
      </c>
      <c r="F27" s="119">
        <v>2</v>
      </c>
      <c r="G27" s="120">
        <v>3</v>
      </c>
      <c r="H27" s="120">
        <v>6</v>
      </c>
      <c r="I27" s="120">
        <v>9</v>
      </c>
      <c r="J27" s="120">
        <v>12</v>
      </c>
      <c r="M27" s="383"/>
      <c r="N27" s="389" t="s">
        <v>7</v>
      </c>
      <c r="O27" s="384"/>
      <c r="P27" s="384"/>
      <c r="Q27" s="128"/>
    </row>
    <row r="28" spans="1:18">
      <c r="B28" s="114" t="s">
        <v>175</v>
      </c>
      <c r="C28" s="114">
        <v>0</v>
      </c>
      <c r="D28" s="114">
        <v>0</v>
      </c>
      <c r="E28" s="114">
        <v>0</v>
      </c>
      <c r="F28" s="114">
        <v>4</v>
      </c>
      <c r="G28" s="121">
        <v>16</v>
      </c>
      <c r="H28" s="121">
        <v>32</v>
      </c>
      <c r="I28" s="121">
        <v>48</v>
      </c>
      <c r="J28" s="121">
        <v>64</v>
      </c>
      <c r="M28" s="383"/>
      <c r="N28" s="115" t="s">
        <v>399</v>
      </c>
      <c r="O28" s="384"/>
      <c r="P28" s="384"/>
      <c r="Q28" s="128"/>
    </row>
    <row r="29" spans="1:18">
      <c r="B29" s="452" t="s">
        <v>209</v>
      </c>
      <c r="C29" s="453"/>
      <c r="D29" s="453"/>
      <c r="E29" s="453"/>
      <c r="F29" s="453"/>
      <c r="G29" s="453"/>
      <c r="H29" s="453"/>
      <c r="I29" s="453"/>
      <c r="J29" s="454"/>
      <c r="M29" s="383"/>
      <c r="N29" s="115" t="s">
        <v>393</v>
      </c>
      <c r="O29" s="388"/>
      <c r="P29" s="388"/>
      <c r="Q29" s="128"/>
    </row>
    <row r="30" spans="1:18">
      <c r="B30" s="252" t="s">
        <v>173</v>
      </c>
      <c r="C30" s="253">
        <v>0</v>
      </c>
      <c r="D30" s="253">
        <v>0</v>
      </c>
      <c r="E30" s="253">
        <v>3</v>
      </c>
      <c r="F30" s="253">
        <v>0</v>
      </c>
      <c r="G30" s="253">
        <v>1</v>
      </c>
      <c r="H30" s="253">
        <v>2</v>
      </c>
      <c r="I30" s="253">
        <v>3</v>
      </c>
      <c r="J30" s="253">
        <v>4</v>
      </c>
      <c r="M30" s="383"/>
      <c r="O30" s="386"/>
      <c r="P30" s="386"/>
      <c r="Q30" s="128"/>
    </row>
    <row r="31" spans="1:18">
      <c r="B31" s="254" t="s">
        <v>174</v>
      </c>
      <c r="C31" s="255">
        <v>0</v>
      </c>
      <c r="D31" s="255">
        <v>0</v>
      </c>
      <c r="E31" s="255">
        <v>0</v>
      </c>
      <c r="F31" s="255">
        <v>0</v>
      </c>
      <c r="G31" s="255">
        <v>0</v>
      </c>
      <c r="H31" s="255">
        <v>0</v>
      </c>
      <c r="I31" s="255">
        <v>0</v>
      </c>
      <c r="J31" s="255">
        <v>0</v>
      </c>
      <c r="M31" s="383"/>
      <c r="N31" s="389" t="s">
        <v>8</v>
      </c>
      <c r="O31" s="386"/>
      <c r="P31" s="386"/>
      <c r="Q31" s="128"/>
    </row>
    <row r="32" spans="1:18">
      <c r="B32" s="256" t="s">
        <v>175</v>
      </c>
      <c r="C32" s="257">
        <v>0</v>
      </c>
      <c r="D32" s="257">
        <v>0</v>
      </c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257">
        <v>0</v>
      </c>
      <c r="M32" s="383"/>
      <c r="N32" s="115" t="s">
        <v>394</v>
      </c>
      <c r="O32" s="386"/>
      <c r="P32" s="386"/>
      <c r="Q32" s="128"/>
    </row>
    <row r="33" spans="1:17">
      <c r="B33" s="452" t="s">
        <v>210</v>
      </c>
      <c r="C33" s="453"/>
      <c r="D33" s="453"/>
      <c r="E33" s="453"/>
      <c r="F33" s="453"/>
      <c r="G33" s="453"/>
      <c r="H33" s="453"/>
      <c r="I33" s="453"/>
      <c r="J33" s="454"/>
      <c r="M33" s="383"/>
      <c r="N33" s="115" t="s">
        <v>400</v>
      </c>
      <c r="O33" s="388"/>
      <c r="P33" s="388"/>
      <c r="Q33" s="128"/>
    </row>
    <row r="34" spans="1:17">
      <c r="B34" s="252" t="s">
        <v>173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M34" s="383"/>
      <c r="N34" s="115" t="s">
        <v>237</v>
      </c>
      <c r="O34" s="386"/>
      <c r="P34" s="386"/>
      <c r="Q34" s="128"/>
    </row>
    <row r="35" spans="1:17">
      <c r="B35" s="254" t="s">
        <v>174</v>
      </c>
      <c r="C35" s="255">
        <v>0</v>
      </c>
      <c r="D35" s="255">
        <v>0</v>
      </c>
      <c r="E35" s="255">
        <v>0</v>
      </c>
      <c r="F35" s="255">
        <v>2</v>
      </c>
      <c r="G35" s="258">
        <v>3</v>
      </c>
      <c r="H35" s="258">
        <v>6</v>
      </c>
      <c r="I35" s="258">
        <v>9</v>
      </c>
      <c r="J35" s="258">
        <v>12</v>
      </c>
      <c r="M35" s="383"/>
      <c r="N35" s="115" t="s">
        <v>395</v>
      </c>
      <c r="O35" s="386"/>
      <c r="P35" s="386"/>
      <c r="Q35" s="128"/>
    </row>
    <row r="36" spans="1:17">
      <c r="B36" s="256" t="s">
        <v>175</v>
      </c>
      <c r="C36" s="257">
        <v>0</v>
      </c>
      <c r="D36" s="257">
        <v>0</v>
      </c>
      <c r="E36" s="257">
        <v>0</v>
      </c>
      <c r="F36" s="257">
        <v>4</v>
      </c>
      <c r="G36" s="259">
        <v>16</v>
      </c>
      <c r="H36" s="259">
        <v>32</v>
      </c>
      <c r="I36" s="259">
        <v>48</v>
      </c>
      <c r="J36" s="259">
        <v>64</v>
      </c>
      <c r="M36" s="383"/>
      <c r="O36" s="386"/>
      <c r="P36" s="386"/>
      <c r="Q36" s="128"/>
    </row>
    <row r="37" spans="1:17">
      <c r="B37" s="452" t="s">
        <v>211</v>
      </c>
      <c r="C37" s="453"/>
      <c r="D37" s="453"/>
      <c r="E37" s="453"/>
      <c r="F37" s="453"/>
      <c r="G37" s="453"/>
      <c r="H37" s="453"/>
      <c r="I37" s="453"/>
      <c r="J37" s="454"/>
      <c r="M37" s="383"/>
      <c r="N37" s="389" t="s">
        <v>9</v>
      </c>
      <c r="O37" s="388"/>
      <c r="P37" s="388"/>
      <c r="Q37" s="128"/>
    </row>
    <row r="38" spans="1:17">
      <c r="B38" s="252" t="s">
        <v>173</v>
      </c>
      <c r="C38" s="253">
        <v>0</v>
      </c>
      <c r="D38" s="253">
        <v>0</v>
      </c>
      <c r="E38" s="253">
        <v>0</v>
      </c>
      <c r="F38" s="253">
        <v>0</v>
      </c>
      <c r="G38" s="260">
        <v>0</v>
      </c>
      <c r="H38" s="260">
        <v>0</v>
      </c>
      <c r="I38" s="260">
        <v>0</v>
      </c>
      <c r="J38" s="260">
        <v>0</v>
      </c>
      <c r="M38" s="383"/>
      <c r="N38" s="115" t="s">
        <v>401</v>
      </c>
      <c r="O38" s="386"/>
      <c r="P38" s="386"/>
      <c r="Q38" s="128"/>
    </row>
    <row r="39" spans="1:17">
      <c r="B39" s="254" t="s">
        <v>174</v>
      </c>
      <c r="C39" s="255">
        <v>0</v>
      </c>
      <c r="D39" s="255">
        <v>0</v>
      </c>
      <c r="E39" s="255">
        <v>0</v>
      </c>
      <c r="F39" s="255">
        <v>0</v>
      </c>
      <c r="G39" s="261">
        <v>0</v>
      </c>
      <c r="H39" s="261">
        <v>0</v>
      </c>
      <c r="I39" s="261">
        <v>0</v>
      </c>
      <c r="J39" s="261">
        <v>0</v>
      </c>
      <c r="M39" s="383"/>
      <c r="N39" s="115" t="s">
        <v>396</v>
      </c>
      <c r="O39" s="386"/>
      <c r="P39" s="386"/>
      <c r="Q39" s="128"/>
    </row>
    <row r="40" spans="1:17">
      <c r="B40" s="256" t="s">
        <v>175</v>
      </c>
      <c r="C40" s="257">
        <v>0</v>
      </c>
      <c r="D40" s="257">
        <v>0</v>
      </c>
      <c r="E40" s="257">
        <v>0</v>
      </c>
      <c r="F40" s="257">
        <v>4</v>
      </c>
      <c r="G40" s="259">
        <v>16</v>
      </c>
      <c r="H40" s="259">
        <v>32</v>
      </c>
      <c r="I40" s="259">
        <v>48</v>
      </c>
      <c r="J40" s="259">
        <v>64</v>
      </c>
      <c r="M40" s="383"/>
      <c r="O40" s="386"/>
      <c r="P40" s="386"/>
      <c r="Q40" s="128"/>
    </row>
    <row r="41" spans="1:17">
      <c r="B41" s="452" t="s">
        <v>212</v>
      </c>
      <c r="C41" s="453"/>
      <c r="D41" s="453"/>
      <c r="E41" s="453"/>
      <c r="F41" s="453"/>
      <c r="G41" s="453"/>
      <c r="H41" s="453"/>
      <c r="I41" s="453"/>
      <c r="J41" s="454"/>
      <c r="M41" s="383"/>
      <c r="N41" s="389" t="s">
        <v>10</v>
      </c>
      <c r="O41" s="388"/>
      <c r="P41" s="388"/>
      <c r="Q41" s="128"/>
    </row>
    <row r="42" spans="1:17">
      <c r="B42" s="123" t="s">
        <v>206</v>
      </c>
      <c r="C42" s="262">
        <v>0</v>
      </c>
      <c r="D42" s="262">
        <v>8.7192000000000007</v>
      </c>
      <c r="E42" s="262">
        <v>30.032800000000005</v>
      </c>
      <c r="F42" s="262">
        <v>25.47944</v>
      </c>
      <c r="G42" s="262">
        <v>53</v>
      </c>
      <c r="H42" s="262">
        <v>82</v>
      </c>
      <c r="I42" s="262">
        <v>104</v>
      </c>
      <c r="J42" s="262">
        <v>115</v>
      </c>
      <c r="M42" s="383"/>
      <c r="N42" s="115" t="s">
        <v>394</v>
      </c>
      <c r="O42" s="387"/>
      <c r="P42" s="387"/>
      <c r="Q42" s="128"/>
    </row>
    <row r="43" spans="1:17">
      <c r="B43" s="124" t="s">
        <v>207</v>
      </c>
      <c r="C43" s="263">
        <v>0</v>
      </c>
      <c r="D43" s="263">
        <v>0</v>
      </c>
      <c r="E43" s="263">
        <v>0</v>
      </c>
      <c r="F43" s="263">
        <v>3.0759399999999997</v>
      </c>
      <c r="G43" s="263">
        <v>9</v>
      </c>
      <c r="H43" s="263">
        <v>16</v>
      </c>
      <c r="I43" s="263">
        <v>29</v>
      </c>
      <c r="J43" s="263">
        <v>50</v>
      </c>
      <c r="M43" s="383"/>
      <c r="N43" s="115" t="s">
        <v>402</v>
      </c>
      <c r="O43" s="387"/>
      <c r="P43" s="387"/>
      <c r="Q43" s="128"/>
    </row>
    <row r="44" spans="1:17">
      <c r="B44" s="256" t="s">
        <v>176</v>
      </c>
      <c r="C44" s="264">
        <v>0</v>
      </c>
      <c r="D44" s="264">
        <v>0</v>
      </c>
      <c r="E44" s="264">
        <v>0</v>
      </c>
      <c r="F44" s="264">
        <v>131</v>
      </c>
      <c r="G44" s="264">
        <v>543</v>
      </c>
      <c r="H44" s="264">
        <v>1403</v>
      </c>
      <c r="I44" s="264">
        <v>2845</v>
      </c>
      <c r="J44" s="264">
        <v>4872</v>
      </c>
      <c r="M44" s="383"/>
      <c r="N44" s="115" t="s">
        <v>397</v>
      </c>
      <c r="O44" s="387"/>
      <c r="P44" s="387"/>
      <c r="Q44" s="128"/>
    </row>
    <row r="45" spans="1:17">
      <c r="M45" s="383"/>
      <c r="N45" s="384"/>
      <c r="O45" s="384"/>
      <c r="P45" s="384"/>
      <c r="Q45" s="128"/>
    </row>
    <row r="46" spans="1:17">
      <c r="A46" s="394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5"/>
      <c r="N46" s="394"/>
      <c r="O46" s="394"/>
      <c r="P46" s="394"/>
      <c r="Q46" s="152"/>
    </row>
    <row r="47" spans="1:17"/>
    <row r="48" spans="1:17"/>
  </sheetData>
  <mergeCells count="8">
    <mergeCell ref="B37:J37"/>
    <mergeCell ref="B41:J41"/>
    <mergeCell ref="H12:J12"/>
    <mergeCell ref="H11:J11"/>
    <mergeCell ref="H13:J13"/>
    <mergeCell ref="B25:J25"/>
    <mergeCell ref="B29:J29"/>
    <mergeCell ref="B33:J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N19" sqref="N19:O19"/>
    </sheetView>
  </sheetViews>
  <sheetFormatPr defaultColWidth="0" defaultRowHeight="0" customHeight="1" zeroHeight="1"/>
  <cols>
    <col min="1" max="1" width="9.140625" style="115" customWidth="1"/>
    <col min="2" max="2" width="19.28515625" style="115" customWidth="1"/>
    <col min="3" max="13" width="9.140625" style="115" customWidth="1"/>
    <col min="14" max="14" width="36.42578125" style="115" customWidth="1"/>
    <col min="15" max="18" width="9.140625" style="115" customWidth="1"/>
    <col min="19" max="16384" width="9.140625" hidden="1"/>
  </cols>
  <sheetData>
    <row r="1" spans="1:18" ht="15"/>
    <row r="2" spans="1:18" ht="15"/>
    <row r="3" spans="1:18" ht="15"/>
    <row r="4" spans="1:18" ht="15"/>
    <row r="5" spans="1:18" ht="15"/>
    <row r="6" spans="1:18" ht="15">
      <c r="R6" s="384"/>
    </row>
    <row r="7" spans="1:18" s="125" customFormat="1" ht="19.899999999999999" customHeight="1">
      <c r="A7" s="155" t="s">
        <v>203</v>
      </c>
      <c r="B7" s="133"/>
      <c r="C7" s="133"/>
      <c r="D7" s="133"/>
      <c r="E7" s="480"/>
      <c r="F7" s="480"/>
      <c r="G7" s="133"/>
      <c r="H7" s="133"/>
      <c r="I7" s="133"/>
      <c r="J7" s="133"/>
      <c r="K7" s="133"/>
      <c r="L7" s="134"/>
      <c r="M7" s="138"/>
      <c r="N7" s="130"/>
      <c r="O7" s="130"/>
      <c r="P7" s="130"/>
      <c r="Q7" s="130"/>
      <c r="R7" s="130"/>
    </row>
    <row r="8" spans="1:18" s="125" customFormat="1" ht="19.899999999999999" customHeight="1">
      <c r="A8" s="481"/>
      <c r="B8" s="480"/>
      <c r="C8" s="480"/>
      <c r="D8" s="480"/>
      <c r="E8" s="480"/>
      <c r="F8" s="480"/>
      <c r="G8" s="138"/>
      <c r="H8" s="138"/>
      <c r="I8" s="138"/>
      <c r="J8" s="138"/>
      <c r="K8" s="138"/>
      <c r="L8" s="477"/>
      <c r="M8" s="138"/>
      <c r="N8" s="130"/>
      <c r="O8" s="130"/>
      <c r="P8" s="130"/>
      <c r="Q8" s="130"/>
      <c r="R8" s="130"/>
    </row>
    <row r="9" spans="1:18" s="129" customFormat="1" ht="19.149999999999999" customHeight="1">
      <c r="A9" s="126"/>
      <c r="B9" s="127"/>
      <c r="C9" s="127"/>
      <c r="D9" s="127"/>
      <c r="E9" s="136"/>
      <c r="F9" s="135"/>
      <c r="G9" s="140"/>
      <c r="H9" s="136"/>
      <c r="I9" s="136"/>
      <c r="J9" s="149"/>
      <c r="K9" s="135"/>
      <c r="L9" s="478"/>
      <c r="M9" s="127"/>
      <c r="N9" s="127"/>
      <c r="O9" s="127"/>
      <c r="P9" s="127"/>
      <c r="Q9" s="127"/>
      <c r="R9" s="127"/>
    </row>
    <row r="10" spans="1:18" s="129" customFormat="1" ht="19.149999999999999" customHeight="1">
      <c r="A10" s="126"/>
      <c r="B10" s="482" t="s">
        <v>413</v>
      </c>
      <c r="C10" s="483"/>
      <c r="D10" s="484"/>
      <c r="E10" s="485" t="s">
        <v>414</v>
      </c>
      <c r="F10" s="135"/>
      <c r="G10" s="479"/>
      <c r="H10" s="479"/>
      <c r="I10" s="479"/>
      <c r="J10" s="149"/>
      <c r="K10" s="135"/>
      <c r="L10" s="128"/>
      <c r="M10" s="127"/>
      <c r="N10" s="127"/>
      <c r="O10" s="127"/>
      <c r="P10" s="127"/>
      <c r="Q10" s="127"/>
      <c r="R10" s="127"/>
    </row>
    <row r="11" spans="1:18" s="129" customFormat="1" ht="19.149999999999999" customHeight="1">
      <c r="A11" s="126"/>
      <c r="B11" s="487" t="s">
        <v>415</v>
      </c>
      <c r="C11" s="488"/>
      <c r="D11" s="488"/>
      <c r="E11" s="489">
        <v>0.28000000000000003</v>
      </c>
      <c r="F11" s="135"/>
      <c r="G11" s="402"/>
      <c r="H11" s="456"/>
      <c r="I11" s="456"/>
      <c r="J11" s="456"/>
      <c r="K11" s="135"/>
      <c r="L11" s="128"/>
      <c r="M11" s="127"/>
      <c r="N11" s="127"/>
      <c r="O11" s="127"/>
      <c r="P11" s="127"/>
      <c r="Q11" s="127"/>
      <c r="R11" s="127"/>
    </row>
    <row r="12" spans="1:18" s="129" customFormat="1" ht="19.149999999999999" customHeight="1">
      <c r="A12" s="126"/>
      <c r="B12" s="382" t="s">
        <v>416</v>
      </c>
      <c r="C12" s="136"/>
      <c r="D12" s="136"/>
      <c r="E12" s="486">
        <v>0.28000000000000003</v>
      </c>
      <c r="F12" s="135"/>
      <c r="G12" s="402"/>
      <c r="H12" s="456"/>
      <c r="I12" s="456"/>
      <c r="J12" s="456"/>
      <c r="K12" s="135"/>
      <c r="L12" s="128"/>
      <c r="M12" s="127"/>
      <c r="N12" s="127"/>
      <c r="O12" s="127"/>
      <c r="P12" s="127"/>
      <c r="Q12" s="127"/>
      <c r="R12" s="127"/>
    </row>
    <row r="13" spans="1:18" s="129" customFormat="1" ht="19.149999999999999" customHeight="1">
      <c r="A13" s="126"/>
      <c r="B13" s="487" t="s">
        <v>417</v>
      </c>
      <c r="C13" s="488"/>
      <c r="D13" s="488"/>
      <c r="E13" s="489">
        <v>0.12</v>
      </c>
      <c r="F13" s="135"/>
      <c r="G13" s="402"/>
      <c r="H13" s="456"/>
      <c r="I13" s="456"/>
      <c r="J13" s="456"/>
      <c r="K13" s="135"/>
      <c r="L13" s="128"/>
      <c r="M13" s="127"/>
      <c r="N13" s="127"/>
      <c r="O13" s="127"/>
      <c r="P13" s="127"/>
      <c r="Q13" s="127"/>
      <c r="R13" s="127"/>
    </row>
    <row r="14" spans="1:18" s="129" customFormat="1" ht="19.149999999999999" customHeight="1">
      <c r="A14" s="126"/>
      <c r="B14" s="382" t="s">
        <v>418</v>
      </c>
      <c r="C14" s="136"/>
      <c r="D14" s="136"/>
      <c r="E14" s="486">
        <v>0.11</v>
      </c>
      <c r="F14" s="136"/>
      <c r="G14" s="136"/>
      <c r="H14" s="136"/>
      <c r="I14" s="136"/>
      <c r="J14" s="136"/>
      <c r="K14" s="135"/>
      <c r="L14" s="128"/>
      <c r="M14" s="127"/>
      <c r="N14" s="127"/>
      <c r="O14" s="127"/>
      <c r="P14" s="127"/>
      <c r="Q14" s="127"/>
      <c r="R14" s="127"/>
    </row>
    <row r="15" spans="1:18" s="129" customFormat="1" ht="19.149999999999999" customHeight="1">
      <c r="A15" s="126"/>
      <c r="B15" s="487" t="s">
        <v>419</v>
      </c>
      <c r="C15" s="488"/>
      <c r="D15" s="488"/>
      <c r="E15" s="489">
        <v>0.11</v>
      </c>
      <c r="F15" s="136"/>
      <c r="G15" s="136"/>
      <c r="H15" s="136"/>
      <c r="I15" s="136"/>
      <c r="J15" s="136"/>
      <c r="K15" s="135"/>
      <c r="L15" s="128"/>
      <c r="M15" s="127"/>
      <c r="N15" s="127"/>
      <c r="O15" s="127"/>
      <c r="P15" s="127"/>
      <c r="Q15" s="127"/>
      <c r="R15" s="127"/>
    </row>
    <row r="16" spans="1:18" s="129" customFormat="1" ht="19.149999999999999" customHeight="1">
      <c r="A16" s="126"/>
      <c r="B16" s="382" t="s">
        <v>420</v>
      </c>
      <c r="C16" s="136"/>
      <c r="D16" s="136"/>
      <c r="E16" s="486">
        <v>0.05</v>
      </c>
      <c r="F16" s="136"/>
      <c r="G16" s="127"/>
      <c r="H16" s="127"/>
      <c r="I16" s="127"/>
      <c r="J16" s="136"/>
      <c r="K16" s="135"/>
      <c r="L16" s="128"/>
      <c r="M16" s="127"/>
      <c r="N16" s="127"/>
      <c r="O16" s="127"/>
      <c r="P16" s="127"/>
      <c r="Q16" s="127"/>
      <c r="R16" s="127"/>
    </row>
    <row r="17" spans="1:18" s="129" customFormat="1" ht="19.149999999999999" customHeight="1">
      <c r="A17" s="126"/>
      <c r="B17" s="490" t="s">
        <v>421</v>
      </c>
      <c r="C17" s="491"/>
      <c r="D17" s="491"/>
      <c r="E17" s="492">
        <v>0.05</v>
      </c>
      <c r="F17" s="136"/>
      <c r="G17" s="127"/>
      <c r="H17" s="127"/>
      <c r="I17" s="127"/>
      <c r="J17" s="136"/>
      <c r="K17" s="135"/>
      <c r="L17" s="128"/>
      <c r="M17" s="127"/>
      <c r="N17" s="127"/>
      <c r="O17" s="127"/>
      <c r="P17" s="127"/>
      <c r="Q17" s="127"/>
      <c r="R17" s="127"/>
    </row>
    <row r="18" spans="1:18" s="129" customFormat="1" ht="19.149999999999999" customHeight="1">
      <c r="A18" s="126"/>
      <c r="B18" s="136"/>
      <c r="C18" s="136"/>
      <c r="D18" s="136"/>
      <c r="E18" s="136"/>
      <c r="F18" s="136"/>
      <c r="G18" s="127"/>
      <c r="H18" s="127"/>
      <c r="I18" s="127"/>
      <c r="J18" s="136"/>
      <c r="K18" s="135"/>
      <c r="L18" s="128"/>
      <c r="M18" s="127"/>
      <c r="N18" s="127"/>
      <c r="O18" s="127"/>
      <c r="P18" s="127"/>
      <c r="Q18" s="127"/>
      <c r="R18" s="127"/>
    </row>
    <row r="19" spans="1:18" s="129" customFormat="1" ht="19.149999999999999" customHeight="1">
      <c r="A19" s="150"/>
      <c r="B19" s="145"/>
      <c r="C19" s="145"/>
      <c r="D19" s="145"/>
      <c r="E19" s="145"/>
      <c r="F19" s="145"/>
      <c r="G19" s="145"/>
      <c r="H19" s="145"/>
      <c r="I19" s="145"/>
      <c r="J19" s="145"/>
      <c r="K19" s="151"/>
      <c r="L19" s="152"/>
      <c r="M19" s="127"/>
      <c r="N19" s="127"/>
      <c r="O19" s="127"/>
      <c r="P19" s="127"/>
      <c r="Q19" s="127"/>
      <c r="R19" s="127"/>
    </row>
    <row r="20" spans="1:18" s="129" customFormat="1" ht="19.149999999999999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27"/>
      <c r="N20" s="127"/>
      <c r="O20" s="127"/>
      <c r="P20" s="127"/>
      <c r="Q20" s="127"/>
      <c r="R20" s="127"/>
    </row>
    <row r="21" spans="1:18" s="129" customFormat="1" ht="19.149999999999999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27"/>
      <c r="N21" s="127"/>
      <c r="O21" s="127"/>
      <c r="P21" s="127"/>
      <c r="Q21" s="127"/>
      <c r="R21" s="127"/>
    </row>
    <row r="22" spans="1:18" ht="15"/>
    <row r="23" spans="1:18" ht="15"/>
    <row r="24" spans="1:18" ht="15"/>
    <row r="25" spans="1:18" ht="15"/>
    <row r="26" spans="1:18" ht="15"/>
    <row r="27" spans="1:18" ht="15"/>
    <row r="28" spans="1:18" ht="15"/>
    <row r="29" spans="1:18" ht="15"/>
    <row r="30" spans="1:18" ht="15"/>
    <row r="31" spans="1:18" ht="15"/>
    <row r="32" spans="1:18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mergeCells count="3">
    <mergeCell ref="H11:J11"/>
    <mergeCell ref="H12:J12"/>
    <mergeCell ref="H13:J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"/>
  <sheetViews>
    <sheetView zoomScale="98" zoomScaleNormal="98" workbookViewId="0">
      <pane xSplit="7" ySplit="9" topLeftCell="I22" activePane="bottomRight" state="frozen"/>
      <selection pane="topRight" activeCell="D1" sqref="D1"/>
      <selection pane="bottomLeft" activeCell="A10" sqref="A10"/>
      <selection pane="bottomRight" activeCell="I28" activeCellId="4" sqref="G78:I78 G70:I70 G64:I64 G55:I55 G28:I28"/>
    </sheetView>
  </sheetViews>
  <sheetFormatPr defaultColWidth="9.140625" defaultRowHeight="15" outlineLevelRow="2"/>
  <cols>
    <col min="1" max="5" width="9.140625" style="198" hidden="1" customWidth="1"/>
    <col min="6" max="6" width="9.140625" style="214" hidden="1" customWidth="1"/>
    <col min="7" max="7" width="43.42578125" style="156" customWidth="1"/>
    <col min="8" max="8" width="9.7109375" style="215" hidden="1" customWidth="1"/>
    <col min="9" max="9" width="12.140625" style="158" bestFit="1" customWidth="1"/>
    <col min="10" max="10" width="9.140625" style="215" hidden="1" customWidth="1"/>
    <col min="11" max="11" width="12.140625" style="158" bestFit="1" customWidth="1"/>
    <col min="12" max="12" width="9.140625" style="215" hidden="1" customWidth="1"/>
    <col min="13" max="13" width="13" style="158" customWidth="1"/>
    <col min="14" max="14" width="9.7109375" style="215" hidden="1" customWidth="1"/>
    <col min="15" max="15" width="12.140625" style="158" bestFit="1" customWidth="1"/>
    <col min="16" max="16" width="9.7109375" style="215" hidden="1" customWidth="1"/>
    <col min="17" max="17" width="12.140625" style="158" bestFit="1" customWidth="1"/>
    <col min="18" max="18" width="9.7109375" style="215" hidden="1" customWidth="1"/>
    <col min="19" max="19" width="13.7109375" style="158" customWidth="1"/>
    <col min="20" max="20" width="11.140625" style="215" hidden="1" customWidth="1"/>
    <col min="21" max="21" width="14.140625" style="158" customWidth="1"/>
    <col min="22" max="22" width="11.140625" style="215" hidden="1" customWidth="1"/>
    <col min="23" max="23" width="12.85546875" style="158" bestFit="1" customWidth="1"/>
    <col min="24" max="24" width="9.140625" style="156" customWidth="1"/>
    <col min="25" max="25" width="11.85546875" style="156" customWidth="1"/>
    <col min="26" max="16384" width="9.140625" style="156"/>
  </cols>
  <sheetData>
    <row r="1" spans="1:25" ht="21.75" customHeight="1">
      <c r="F1" s="199"/>
      <c r="G1" s="196"/>
      <c r="M1" s="159"/>
      <c r="N1" s="238"/>
      <c r="O1" s="159"/>
      <c r="P1" s="238"/>
      <c r="Q1" s="159"/>
      <c r="R1" s="238"/>
      <c r="S1" s="159"/>
    </row>
    <row r="2" spans="1:25" ht="30.75" customHeight="1">
      <c r="F2" s="200"/>
      <c r="G2" s="196"/>
      <c r="I2" s="160" t="s">
        <v>408</v>
      </c>
      <c r="J2" s="231"/>
      <c r="M2" s="161"/>
      <c r="N2" s="239"/>
      <c r="O2" s="161"/>
      <c r="P2" s="239"/>
      <c r="Q2" s="161"/>
      <c r="R2" s="238"/>
      <c r="S2" s="159"/>
      <c r="T2" s="242"/>
      <c r="U2" s="159"/>
      <c r="V2" s="242"/>
      <c r="W2" s="159"/>
    </row>
    <row r="3" spans="1:25" ht="6.75" customHeight="1">
      <c r="F3" s="200"/>
      <c r="G3" s="196"/>
      <c r="I3" s="157"/>
      <c r="J3" s="231"/>
      <c r="M3" s="162"/>
      <c r="O3" s="162"/>
      <c r="Q3" s="162"/>
      <c r="R3" s="242"/>
      <c r="S3" s="159"/>
      <c r="T3" s="242"/>
      <c r="U3" s="159"/>
      <c r="V3" s="242"/>
      <c r="W3" s="159"/>
    </row>
    <row r="4" spans="1:25" ht="24.75" customHeight="1">
      <c r="F4" s="200"/>
      <c r="G4" s="196"/>
      <c r="I4" s="163" t="s">
        <v>119</v>
      </c>
      <c r="J4" s="232"/>
      <c r="K4" s="164"/>
      <c r="M4" s="162"/>
      <c r="N4" s="240"/>
      <c r="O4" s="165"/>
      <c r="P4" s="241"/>
      <c r="Q4" s="162"/>
      <c r="S4" s="159"/>
      <c r="T4" s="242"/>
      <c r="U4" s="159"/>
      <c r="V4" s="242"/>
      <c r="W4" s="159"/>
    </row>
    <row r="5" spans="1:25" ht="15.75" customHeight="1" thickBot="1">
      <c r="F5" s="201"/>
      <c r="G5" s="197"/>
      <c r="H5" s="216"/>
      <c r="I5" s="166"/>
      <c r="J5" s="233"/>
      <c r="K5" s="167"/>
      <c r="L5" s="233"/>
      <c r="M5" s="167"/>
      <c r="N5" s="233"/>
      <c r="O5" s="167"/>
      <c r="P5" s="233"/>
      <c r="Q5" s="167"/>
      <c r="R5" s="243"/>
      <c r="S5" s="167"/>
      <c r="T5" s="233"/>
      <c r="U5" s="167"/>
      <c r="V5" s="233"/>
      <c r="W5" s="167"/>
    </row>
    <row r="6" spans="1:25" ht="6.75" hidden="1" customHeight="1">
      <c r="A6" s="202"/>
      <c r="B6" s="202"/>
      <c r="C6" s="202"/>
      <c r="D6" s="202"/>
      <c r="E6" s="202"/>
      <c r="F6" s="203"/>
      <c r="G6" s="169"/>
      <c r="H6" s="217"/>
      <c r="I6" s="170"/>
      <c r="J6" s="234"/>
      <c r="K6" s="170"/>
      <c r="L6" s="234"/>
      <c r="M6" s="170"/>
      <c r="N6" s="234"/>
      <c r="O6" s="170"/>
      <c r="P6" s="234"/>
      <c r="Q6" s="170"/>
      <c r="R6" s="234"/>
      <c r="S6" s="170"/>
      <c r="T6" s="234"/>
      <c r="U6" s="170"/>
      <c r="V6" s="234"/>
      <c r="W6" s="170"/>
      <c r="Y6" s="168"/>
    </row>
    <row r="7" spans="1:25" s="174" customFormat="1" ht="13.5" hidden="1" customHeight="1">
      <c r="A7" s="204"/>
      <c r="B7" s="204"/>
      <c r="C7" s="204"/>
      <c r="D7" s="204"/>
      <c r="E7" s="204"/>
      <c r="F7" s="205"/>
      <c r="G7" s="172"/>
      <c r="H7" s="218">
        <v>2</v>
      </c>
      <c r="I7" s="173">
        <v>13</v>
      </c>
      <c r="J7" s="235">
        <v>14</v>
      </c>
      <c r="K7" s="173">
        <v>25</v>
      </c>
      <c r="L7" s="237">
        <v>26</v>
      </c>
      <c r="M7" s="173">
        <v>37</v>
      </c>
      <c r="N7" s="237">
        <v>38</v>
      </c>
      <c r="O7" s="173">
        <v>49</v>
      </c>
      <c r="P7" s="237">
        <v>50</v>
      </c>
      <c r="Q7" s="173">
        <v>61</v>
      </c>
      <c r="R7" s="237">
        <v>62</v>
      </c>
      <c r="S7" s="173">
        <v>73</v>
      </c>
      <c r="T7" s="237">
        <v>74</v>
      </c>
      <c r="U7" s="173">
        <v>85</v>
      </c>
      <c r="V7" s="237">
        <v>86</v>
      </c>
      <c r="W7" s="173">
        <v>97</v>
      </c>
      <c r="Y7" s="171"/>
    </row>
    <row r="8" spans="1:25" ht="15.75" customHeight="1">
      <c r="A8" s="206"/>
      <c r="B8" s="206"/>
      <c r="C8" s="206"/>
      <c r="D8" s="206"/>
      <c r="E8" s="206"/>
      <c r="F8" s="205"/>
      <c r="G8" s="180"/>
      <c r="H8" s="219"/>
      <c r="I8" s="181" t="s">
        <v>120</v>
      </c>
      <c r="J8" s="219"/>
      <c r="K8" s="181" t="s">
        <v>121</v>
      </c>
      <c r="L8" s="219"/>
      <c r="M8" s="181" t="s">
        <v>122</v>
      </c>
      <c r="N8" s="219"/>
      <c r="O8" s="181" t="s">
        <v>123</v>
      </c>
      <c r="P8" s="219"/>
      <c r="Q8" s="181" t="s">
        <v>124</v>
      </c>
      <c r="R8" s="219"/>
      <c r="S8" s="181" t="s">
        <v>125</v>
      </c>
      <c r="T8" s="219"/>
      <c r="U8" s="181" t="s">
        <v>126</v>
      </c>
      <c r="V8" s="219"/>
      <c r="W8" s="181" t="s">
        <v>127</v>
      </c>
      <c r="Y8" s="175"/>
    </row>
    <row r="9" spans="1:25" ht="15.75" hidden="1" customHeight="1">
      <c r="A9" s="206"/>
      <c r="B9" s="206"/>
      <c r="C9" s="206"/>
      <c r="D9" s="206"/>
      <c r="E9" s="207"/>
      <c r="F9" s="205"/>
      <c r="G9" s="182"/>
      <c r="H9" s="220" t="s">
        <v>128</v>
      </c>
      <c r="I9" s="183" t="s">
        <v>129</v>
      </c>
      <c r="J9" s="220" t="s">
        <v>128</v>
      </c>
      <c r="K9" s="183" t="s">
        <v>129</v>
      </c>
      <c r="L9" s="220" t="s">
        <v>128</v>
      </c>
      <c r="M9" s="183" t="s">
        <v>129</v>
      </c>
      <c r="N9" s="220" t="s">
        <v>128</v>
      </c>
      <c r="O9" s="183" t="s">
        <v>129</v>
      </c>
      <c r="P9" s="220" t="s">
        <v>128</v>
      </c>
      <c r="Q9" s="183" t="s">
        <v>129</v>
      </c>
      <c r="R9" s="220" t="s">
        <v>128</v>
      </c>
      <c r="S9" s="183" t="s">
        <v>129</v>
      </c>
      <c r="T9" s="220" t="s">
        <v>128</v>
      </c>
      <c r="U9" s="183" t="s">
        <v>129</v>
      </c>
      <c r="V9" s="220" t="s">
        <v>128</v>
      </c>
      <c r="W9" s="183" t="s">
        <v>129</v>
      </c>
      <c r="Y9" s="175"/>
    </row>
    <row r="10" spans="1:25" ht="15.75" hidden="1" customHeight="1">
      <c r="E10" s="208"/>
      <c r="F10" s="209"/>
      <c r="G10" s="184"/>
      <c r="H10" s="221"/>
      <c r="I10" s="185"/>
      <c r="J10" s="221"/>
      <c r="K10" s="185"/>
      <c r="L10" s="221"/>
      <c r="M10" s="185"/>
      <c r="N10" s="221"/>
      <c r="O10" s="185"/>
      <c r="P10" s="221"/>
      <c r="Q10" s="185"/>
      <c r="R10" s="221"/>
      <c r="S10" s="185"/>
      <c r="T10" s="221"/>
      <c r="U10" s="185"/>
      <c r="V10" s="221"/>
      <c r="W10" s="185"/>
    </row>
    <row r="11" spans="1:25" ht="12.75">
      <c r="A11" s="210"/>
      <c r="B11" s="210"/>
      <c r="C11" s="210"/>
      <c r="D11" s="210"/>
      <c r="E11" s="210"/>
      <c r="F11" s="211"/>
      <c r="G11" s="186" t="s">
        <v>12</v>
      </c>
      <c r="H11" s="222"/>
      <c r="I11" s="187"/>
      <c r="J11" s="222"/>
      <c r="K11" s="187"/>
      <c r="L11" s="222"/>
      <c r="M11" s="187"/>
      <c r="N11" s="222"/>
      <c r="O11" s="187"/>
      <c r="P11" s="222"/>
      <c r="Q11" s="187"/>
      <c r="R11" s="222"/>
      <c r="S11" s="187"/>
      <c r="T11" s="222"/>
      <c r="U11" s="187"/>
      <c r="V11" s="222"/>
      <c r="W11" s="187"/>
    </row>
    <row r="12" spans="1:25" ht="15.75" customHeight="1" outlineLevel="1">
      <c r="E12" s="208"/>
      <c r="F12" s="212"/>
      <c r="G12" s="188" t="s">
        <v>409</v>
      </c>
      <c r="H12" s="223"/>
      <c r="I12" s="185">
        <f>I20</f>
        <v>0</v>
      </c>
      <c r="J12" s="223"/>
      <c r="K12" s="185">
        <f t="shared" ref="K12:W12" si="0">K20</f>
        <v>43596</v>
      </c>
      <c r="L12" s="223"/>
      <c r="M12" s="185">
        <f t="shared" si="0"/>
        <v>590164</v>
      </c>
      <c r="N12" s="223"/>
      <c r="O12" s="185">
        <f t="shared" si="0"/>
        <v>1085682.3999999999</v>
      </c>
      <c r="P12" s="223"/>
      <c r="Q12" s="185">
        <f t="shared" si="0"/>
        <v>4304360</v>
      </c>
      <c r="R12" s="223"/>
      <c r="S12" s="185">
        <f t="shared" si="0"/>
        <v>9861568</v>
      </c>
      <c r="T12" s="223"/>
      <c r="U12" s="185">
        <f t="shared" si="0"/>
        <v>17538552</v>
      </c>
      <c r="V12" s="223"/>
      <c r="W12" s="185">
        <f t="shared" si="0"/>
        <v>27385312</v>
      </c>
    </row>
    <row r="13" spans="1:25" ht="15.75" customHeight="1" outlineLevel="1">
      <c r="E13" s="208"/>
      <c r="F13" s="212"/>
      <c r="G13" s="188" t="s">
        <v>185</v>
      </c>
      <c r="H13" s="223"/>
      <c r="I13" s="185">
        <f>I12-I53-I28</f>
        <v>-947267.40999999992</v>
      </c>
      <c r="J13" s="223"/>
      <c r="K13" s="185">
        <f>K12-K53-K28</f>
        <v>-567413.5</v>
      </c>
      <c r="L13" s="223"/>
      <c r="M13" s="185">
        <f>M12-M53-M28</f>
        <v>-231550.94400000002</v>
      </c>
      <c r="N13" s="223"/>
      <c r="O13" s="185">
        <f>O12-O53-O28</f>
        <v>-429402.62800000003</v>
      </c>
      <c r="P13" s="223"/>
      <c r="Q13" s="185">
        <f>Q12-Q53-Q28</f>
        <v>207479.08699999982</v>
      </c>
      <c r="R13" s="223"/>
      <c r="S13" s="185">
        <f>S12-S53-S28</f>
        <v>3802639.6540000001</v>
      </c>
      <c r="T13" s="223"/>
      <c r="U13" s="185">
        <f>U12-U53-U28</f>
        <v>9290943.1809999999</v>
      </c>
      <c r="V13" s="223"/>
      <c r="W13" s="185">
        <f>W12-W53-W28</f>
        <v>16950049.667999998</v>
      </c>
    </row>
    <row r="14" spans="1:25" ht="15.75" customHeight="1" outlineLevel="1">
      <c r="E14" s="208"/>
      <c r="F14" s="212"/>
      <c r="G14" s="188" t="s">
        <v>15</v>
      </c>
      <c r="H14" s="223"/>
      <c r="I14" s="185">
        <f>H13+I13</f>
        <v>-947267.40999999992</v>
      </c>
      <c r="J14" s="223"/>
      <c r="K14" s="185">
        <f>I14+K13</f>
        <v>-1514680.91</v>
      </c>
      <c r="L14" s="223"/>
      <c r="M14" s="185">
        <f>K14+M13</f>
        <v>-1746231.8539999998</v>
      </c>
      <c r="N14" s="223"/>
      <c r="O14" s="185">
        <f>M14+O13</f>
        <v>-2175634.4819999998</v>
      </c>
      <c r="P14" s="223"/>
      <c r="Q14" s="185">
        <f>O14+Q13</f>
        <v>-1968155.395</v>
      </c>
      <c r="R14" s="223"/>
      <c r="S14" s="185">
        <f>Q14+S13</f>
        <v>1834484.2590000001</v>
      </c>
      <c r="T14" s="223"/>
      <c r="U14" s="185">
        <f>S14+U13</f>
        <v>11125427.439999999</v>
      </c>
      <c r="V14" s="223"/>
      <c r="W14" s="185">
        <f>U14+W13</f>
        <v>28075477.107999995</v>
      </c>
    </row>
    <row r="15" spans="1:25" ht="15.75" customHeight="1" outlineLevel="1">
      <c r="E15" s="208"/>
      <c r="F15" s="212"/>
      <c r="G15" s="188" t="s">
        <v>184</v>
      </c>
      <c r="H15" s="223"/>
      <c r="I15" s="189">
        <f>-(I53+I28)</f>
        <v>-947267.40999999992</v>
      </c>
      <c r="J15" s="236">
        <f>J53+J28</f>
        <v>5</v>
      </c>
      <c r="K15" s="189">
        <f>-(K53+K28)</f>
        <v>-611009.5</v>
      </c>
      <c r="L15" s="236">
        <f>L53+L28</f>
        <v>7.3333333333333339</v>
      </c>
      <c r="M15" s="189">
        <f>-(M53+M28)</f>
        <v>-821714.94400000002</v>
      </c>
      <c r="N15" s="236">
        <f>N53+N28</f>
        <v>10.833333333333334</v>
      </c>
      <c r="O15" s="189">
        <f>-(O53+O28)</f>
        <v>-1515085.0279999999</v>
      </c>
      <c r="P15" s="236">
        <f>P53+P28</f>
        <v>17.5</v>
      </c>
      <c r="Q15" s="189">
        <f>-(Q53+Q28)</f>
        <v>-4096880.9130000002</v>
      </c>
      <c r="R15" s="236">
        <f>R53+R28</f>
        <v>23</v>
      </c>
      <c r="S15" s="189">
        <f>-(S53+S28)</f>
        <v>-6058928.3459999999</v>
      </c>
      <c r="T15" s="236">
        <f>T53+T28</f>
        <v>23</v>
      </c>
      <c r="U15" s="189">
        <f>-(U53+U28)</f>
        <v>-8247608.8190000001</v>
      </c>
      <c r="V15" s="236">
        <f>V53+V28</f>
        <v>23</v>
      </c>
      <c r="W15" s="189">
        <f>-(W53+W28)</f>
        <v>-10435262.332</v>
      </c>
    </row>
    <row r="16" spans="1:25" ht="15.75" customHeight="1" outlineLevel="1">
      <c r="E16" s="208"/>
      <c r="F16" s="212"/>
      <c r="G16" s="188" t="s">
        <v>16</v>
      </c>
      <c r="H16" s="223"/>
      <c r="I16" s="185">
        <f>-(I28+I53)</f>
        <v>-947267.40999999992</v>
      </c>
      <c r="J16" s="223"/>
      <c r="K16" s="185">
        <f>-K28-K53+I16</f>
        <v>-1558276.91</v>
      </c>
      <c r="L16" s="223"/>
      <c r="M16" s="185">
        <f>-M28-M53+K16</f>
        <v>-2379991.8539999998</v>
      </c>
      <c r="N16" s="223"/>
      <c r="O16" s="185">
        <f>-O28-O53+M16</f>
        <v>-3895076.8819999998</v>
      </c>
      <c r="P16" s="223"/>
      <c r="Q16" s="185">
        <f>-Q28-Q53+O16</f>
        <v>-7991957.7949999999</v>
      </c>
      <c r="R16" s="223"/>
      <c r="S16" s="185">
        <f>-S28-S53+Q16</f>
        <v>-14050886.140999999</v>
      </c>
      <c r="T16" s="223"/>
      <c r="U16" s="185">
        <f>-U28-U53+S16</f>
        <v>-22298494.960000001</v>
      </c>
      <c r="V16" s="223"/>
      <c r="W16" s="185">
        <f>-W28-W53+U16</f>
        <v>-32733757.292000003</v>
      </c>
    </row>
    <row r="17" spans="1:25" ht="15.75" customHeight="1" outlineLevel="1">
      <c r="E17" s="208"/>
      <c r="F17" s="212"/>
      <c r="G17" s="188" t="s">
        <v>17</v>
      </c>
      <c r="H17" s="223"/>
      <c r="I17" s="185">
        <f>H17+I12</f>
        <v>0</v>
      </c>
      <c r="J17" s="223"/>
      <c r="K17" s="185">
        <f>J17+K12</f>
        <v>43596</v>
      </c>
      <c r="L17" s="223"/>
      <c r="M17" s="185">
        <f>K17+M12</f>
        <v>633760</v>
      </c>
      <c r="N17" s="223"/>
      <c r="O17" s="185">
        <f>M17+O12</f>
        <v>1719442.4</v>
      </c>
      <c r="P17" s="223"/>
      <c r="Q17" s="185">
        <f>O17+Q12</f>
        <v>6023802.4000000004</v>
      </c>
      <c r="R17" s="223"/>
      <c r="S17" s="185">
        <f>Q17+S12</f>
        <v>15885370.4</v>
      </c>
      <c r="T17" s="223"/>
      <c r="U17" s="185">
        <f>S17+U12</f>
        <v>33423922.399999999</v>
      </c>
      <c r="V17" s="223"/>
      <c r="W17" s="185">
        <f>U17+W12</f>
        <v>60809234.399999999</v>
      </c>
    </row>
    <row r="18" spans="1:25" ht="15.75" customHeight="1" outlineLevel="1">
      <c r="E18" s="208"/>
      <c r="F18" s="212"/>
      <c r="G18" s="188" t="s">
        <v>18</v>
      </c>
      <c r="H18" s="223"/>
      <c r="I18" s="185">
        <f>I13</f>
        <v>-947267.40999999992</v>
      </c>
      <c r="J18" s="223"/>
      <c r="K18" s="185">
        <f>I18+K13</f>
        <v>-1514680.91</v>
      </c>
      <c r="L18" s="223"/>
      <c r="M18" s="185">
        <f>K18+M13</f>
        <v>-1746231.8539999998</v>
      </c>
      <c r="N18" s="223"/>
      <c r="O18" s="185">
        <f>M18+O13</f>
        <v>-2175634.4819999998</v>
      </c>
      <c r="P18" s="223"/>
      <c r="Q18" s="185">
        <f>O18+Q13</f>
        <v>-1968155.395</v>
      </c>
      <c r="R18" s="223"/>
      <c r="S18" s="185">
        <f>Q18+S13</f>
        <v>1834484.2590000001</v>
      </c>
      <c r="T18" s="223"/>
      <c r="U18" s="185">
        <f>S18+U13</f>
        <v>11125427.439999999</v>
      </c>
      <c r="V18" s="223"/>
      <c r="W18" s="185">
        <f>U18+W13</f>
        <v>28075477.107999995</v>
      </c>
    </row>
    <row r="19" spans="1:25" ht="15.75" customHeight="1">
      <c r="E19" s="208"/>
      <c r="F19" s="212"/>
      <c r="G19" s="190"/>
      <c r="H19" s="221"/>
      <c r="I19" s="185"/>
      <c r="J19" s="221"/>
      <c r="K19" s="185"/>
      <c r="L19" s="221"/>
      <c r="M19" s="185"/>
      <c r="N19" s="221"/>
      <c r="O19" s="185"/>
      <c r="P19" s="221"/>
      <c r="Q19" s="185"/>
      <c r="R19" s="221"/>
      <c r="S19" s="185"/>
      <c r="T19" s="221"/>
      <c r="U19" s="185"/>
      <c r="V19" s="221"/>
      <c r="W19" s="185"/>
    </row>
    <row r="20" spans="1:25" ht="12.75">
      <c r="A20" s="210"/>
      <c r="B20" s="210"/>
      <c r="C20" s="210"/>
      <c r="D20" s="210"/>
      <c r="E20" s="210"/>
      <c r="F20" s="211"/>
      <c r="G20" s="191" t="s">
        <v>19</v>
      </c>
      <c r="H20" s="222"/>
      <c r="I20" s="187">
        <f>SUM(I22:I26)</f>
        <v>0</v>
      </c>
      <c r="J20" s="222"/>
      <c r="K20" s="187">
        <f>SUM(K22:K26)</f>
        <v>43596</v>
      </c>
      <c r="L20" s="222"/>
      <c r="M20" s="187">
        <f>SUM(M22:M26)</f>
        <v>590164</v>
      </c>
      <c r="N20" s="222"/>
      <c r="O20" s="187">
        <f>SUM(O22:O26)</f>
        <v>1085682.3999999999</v>
      </c>
      <c r="P20" s="222"/>
      <c r="Q20" s="187">
        <f>SUM(Q22:Q26)</f>
        <v>4304360</v>
      </c>
      <c r="R20" s="222"/>
      <c r="S20" s="187">
        <f>SUM(S22:S26)</f>
        <v>9861568</v>
      </c>
      <c r="T20" s="222"/>
      <c r="U20" s="187">
        <f>SUM(U22:U26)</f>
        <v>17538552</v>
      </c>
      <c r="V20" s="222"/>
      <c r="W20" s="187">
        <f>SUM(W22:W26)</f>
        <v>27385312</v>
      </c>
      <c r="Y20" s="176"/>
    </row>
    <row r="21" spans="1:25" ht="15.75" customHeight="1" outlineLevel="1">
      <c r="E21" s="213"/>
      <c r="F21" s="212"/>
      <c r="G21" s="188" t="s">
        <v>181</v>
      </c>
      <c r="H21" s="224"/>
      <c r="I21" s="185">
        <f>I22+I23</f>
        <v>0</v>
      </c>
      <c r="J21" s="224"/>
      <c r="K21" s="185">
        <f>K22+K23</f>
        <v>43596</v>
      </c>
      <c r="L21" s="224"/>
      <c r="M21" s="185">
        <f>M22+M23</f>
        <v>150164.00000000003</v>
      </c>
      <c r="N21" s="224"/>
      <c r="O21" s="185">
        <f>O22+O23</f>
        <v>191822.4</v>
      </c>
      <c r="P21" s="224"/>
      <c r="Q21" s="185">
        <f>Q22+Q23</f>
        <v>726600</v>
      </c>
      <c r="R21" s="224"/>
      <c r="S21" s="185">
        <f>S22+S23</f>
        <v>1801968</v>
      </c>
      <c r="T21" s="224"/>
      <c r="U21" s="185">
        <f>U22+U23</f>
        <v>3574872</v>
      </c>
      <c r="V21" s="224"/>
      <c r="W21" s="185">
        <f>W22+W23</f>
        <v>6045312</v>
      </c>
    </row>
    <row r="22" spans="1:25" ht="15.75" customHeight="1" outlineLevel="2">
      <c r="F22" s="213">
        <v>167</v>
      </c>
      <c r="G22" s="188" t="s">
        <v>182</v>
      </c>
      <c r="H22" s="224">
        <f>SUM('Business Plan Detailed'!D167:O167,'Business Plan Detailed'!D169:O169)</f>
        <v>0</v>
      </c>
      <c r="I22" s="185">
        <f>SUM(INDEX('Business Plan Detailed'!$C$1:$CU$240,$F$22,H$7):INDEX('Business Plan Detailed'!$C$1:$CU$240,$F$22,I$7))*5</f>
        <v>0</v>
      </c>
      <c r="J22" s="224">
        <f>SUM('Business Plan Detailed'!P167:AA167,'Business Plan Detailed'!P169:AA169)</f>
        <v>8719.2000000000007</v>
      </c>
      <c r="K22" s="185">
        <f>SUM(INDEX('Business Plan Detailed'!$C$1:$CU$240,$F$22,J$7):INDEX('Business Plan Detailed'!$C$1:$CU$240,$F$22,K$7))*5</f>
        <v>43596</v>
      </c>
      <c r="L22" s="224">
        <f>SUM('Business Plan Detailed'!AB167:AM167,'Business Plan Detailed'!AB169:AM169)</f>
        <v>30032.800000000007</v>
      </c>
      <c r="M22" s="185">
        <f>SUM(INDEX('Business Plan Detailed'!$C$1:$CU$240,$F$22,L$7):INDEX('Business Plan Detailed'!$C$1:$CU$240,$F$22,M$7))*5</f>
        <v>150164.00000000003</v>
      </c>
      <c r="N22" s="224">
        <f>SUM('Business Plan Detailed'!AN167:AY167,'Business Plan Detailed'!AN169:AY169)</f>
        <v>0</v>
      </c>
      <c r="O22" s="185">
        <f>SUM(INDEX('Business Plan Detailed'!$C$1:$CU$240,$F$22,N$7):INDEX('Business Plan Detailed'!$C$1:$CU$240,$F$22,O$7))*5</f>
        <v>0</v>
      </c>
      <c r="P22" s="224">
        <f>SUM('Business Plan Detailed'!AZ167:BK167,'Business Plan Detailed'!AZ169:BK169)</f>
        <v>0</v>
      </c>
      <c r="Q22" s="185">
        <f>SUM(INDEX('Business Plan Detailed'!$C$1:$CU$240,$F$22,P$7):INDEX('Business Plan Detailed'!$C$1:$CU$240,$F$22,Q$7))*5</f>
        <v>0</v>
      </c>
      <c r="R22" s="224">
        <f>SUM('Business Plan Detailed'!BL167:BW167,'Business Plan Detailed'!BL169:BW169)</f>
        <v>0</v>
      </c>
      <c r="S22" s="185">
        <f>SUM(INDEX('Business Plan Detailed'!$C$1:$CU$240,$F$22,R$7):INDEX('Business Plan Detailed'!$C$1:$CU$240,$F$22,S$7))*5</f>
        <v>0</v>
      </c>
      <c r="T22" s="224">
        <f>SUM('Business Plan Detailed'!BX167:CI167,'Business Plan Detailed'!BX169:CI169)</f>
        <v>0</v>
      </c>
      <c r="U22" s="185">
        <f>SUM(INDEX('Business Plan Detailed'!$C$1:$CU$240,$F$22,T$7):INDEX('Business Plan Detailed'!$C$1:$CU$240,$F$22,U$7))*5</f>
        <v>0</v>
      </c>
      <c r="V22" s="224">
        <f>SUM('Business Plan Detailed'!CJ167:CU167,'Business Plan Detailed'!CJ169:CU169)</f>
        <v>0</v>
      </c>
      <c r="W22" s="185">
        <f>SUM(INDEX('Business Plan Detailed'!$C$1:$CU$240,$F$22,V$7):INDEX('Business Plan Detailed'!$C$1:$CU$240,$F$22,W$7))*5</f>
        <v>0</v>
      </c>
    </row>
    <row r="23" spans="1:25" ht="15.75" customHeight="1" outlineLevel="2">
      <c r="E23" s="213"/>
      <c r="F23" s="212">
        <v>172</v>
      </c>
      <c r="G23" s="188" t="s">
        <v>183</v>
      </c>
      <c r="H23" s="224">
        <f>SUM('Business Plan Detailed'!D172:O172)</f>
        <v>0</v>
      </c>
      <c r="I23" s="185">
        <f>SUM(INDEX('Business Plan Detailed'!$C$1:$CU$240,$F$23,H$7):INDEX('Business Plan Detailed'!$C$1:$CU$240,$F$23,I$7))*1.2</f>
        <v>0</v>
      </c>
      <c r="J23" s="224">
        <f>SUM('Business Plan Detailed'!P172:AA172)</f>
        <v>0</v>
      </c>
      <c r="K23" s="185">
        <f>SUM(INDEX('Business Plan Detailed'!$C$1:$CU$240,$F$23,J$7):INDEX('Business Plan Detailed'!$C$1:$CU$240,$F$23,K$7))*1.2</f>
        <v>0</v>
      </c>
      <c r="L23" s="224">
        <f>SUM('Business Plan Detailed'!AB172:AM172)</f>
        <v>0</v>
      </c>
      <c r="M23" s="185">
        <f>SUM(INDEX('Business Plan Detailed'!$C$1:$CU$240,$F$23,L$7):INDEX('Business Plan Detailed'!$C$1:$CU$240,$F$23,M$7))*1.2</f>
        <v>0</v>
      </c>
      <c r="N23" s="224">
        <f>SUM('Business Plan Detailed'!AN172:AY172)</f>
        <v>159852</v>
      </c>
      <c r="O23" s="185">
        <f>SUM(INDEX('Business Plan Detailed'!$C$1:$CU$240,$F$23,N$7):INDEX('Business Plan Detailed'!$C$1:$CU$240,$F$23,O$7))*1.2</f>
        <v>191822.4</v>
      </c>
      <c r="P23" s="224">
        <f>SUM('Business Plan Detailed'!AZ172:BK172)</f>
        <v>605500</v>
      </c>
      <c r="Q23" s="185">
        <f>SUM(INDEX('Business Plan Detailed'!$C$1:$CU$240,$F$23,P$7):INDEX('Business Plan Detailed'!$C$1:$CU$240,$F$23,Q$7))*1.2</f>
        <v>726600</v>
      </c>
      <c r="R23" s="224">
        <f>SUM('Business Plan Detailed'!BL172:BW172)</f>
        <v>1501640</v>
      </c>
      <c r="S23" s="185">
        <f>SUM(INDEX('Business Plan Detailed'!$C$1:$CU$240,$F$23,R$7):INDEX('Business Plan Detailed'!$C$1:$CU$240,$F$23,S$7))*1.2</f>
        <v>1801968</v>
      </c>
      <c r="T23" s="224">
        <f>SUM('Business Plan Detailed'!BX172:CI172)</f>
        <v>2979060</v>
      </c>
      <c r="U23" s="185">
        <f>SUM(INDEX('Business Plan Detailed'!$C$1:$CU$240,$F$23,T$7):INDEX('Business Plan Detailed'!$C$1:$CU$240,$F$23,U$7))*1.2</f>
        <v>3574872</v>
      </c>
      <c r="V23" s="224">
        <f>SUM('Business Plan Detailed'!CJ172:CU172)</f>
        <v>5037760</v>
      </c>
      <c r="W23" s="185">
        <f>SUM(INDEX('Business Plan Detailed'!$C$1:$CU$240,$F$23,V$7):INDEX('Business Plan Detailed'!$C$1:$CU$240,$F$23,W$7))*1.2</f>
        <v>6045312</v>
      </c>
      <c r="Y23" s="177"/>
    </row>
    <row r="24" spans="1:25" ht="15.75" customHeight="1" outlineLevel="1">
      <c r="E24" s="213"/>
      <c r="F24" s="212">
        <v>178</v>
      </c>
      <c r="G24" s="188" t="s">
        <v>178</v>
      </c>
      <c r="H24" s="224">
        <f>SUM('Business Plan Detailed'!D179:O179,'Business Plan Detailed'!D181:O181,'Business Plan Detailed'!D183:O183)</f>
        <v>0</v>
      </c>
      <c r="I24" s="185">
        <f>SUM(INDEX('Business Plan Detailed'!$C$1:$CU$240,$F$24,H$7):INDEX('Business Plan Detailed'!$C$1:$CU$240,$F$24,I$7))</f>
        <v>0</v>
      </c>
      <c r="J24" s="224">
        <f>SUM('Business Plan Detailed'!P179:AA179,'Business Plan Detailed'!P181:AA181,'Business Plan Detailed'!P183:AA183)</f>
        <v>0</v>
      </c>
      <c r="K24" s="185">
        <f>SUM(INDEX('Business Plan Detailed'!$C$1:$CU$240,$F$24,J$7):INDEX('Business Plan Detailed'!$C$1:$CU$240,$F$24,K$7))</f>
        <v>0</v>
      </c>
      <c r="L24" s="224">
        <f>SUM('Business Plan Detailed'!AB179:AM179,'Business Plan Detailed'!AB181:AM181,'Business Plan Detailed'!AB183:AM183)</f>
        <v>3</v>
      </c>
      <c r="M24" s="185">
        <f>SUM(INDEX('Business Plan Detailed'!$C$1:$CU$240,$F$24,L$7):INDEX('Business Plan Detailed'!$C$1:$CU$240,$F$24,M$7))</f>
        <v>390000</v>
      </c>
      <c r="N24" s="224">
        <f>SUM('Business Plan Detailed'!AN179:AY179,'Business Plan Detailed'!AN181:AY181,'Business Plan Detailed'!AN183:AY183)</f>
        <v>6</v>
      </c>
      <c r="O24" s="185">
        <f>SUM(INDEX('Business Plan Detailed'!$C$1:$CU$240,$F$24,N$7):INDEX('Business Plan Detailed'!$C$1:$CU$240,$F$24,O$7))</f>
        <v>680000</v>
      </c>
      <c r="P24" s="224">
        <f>SUM('Business Plan Detailed'!AZ179:BK179,'Business Plan Detailed'!AZ181:BK181,'Business Plan Detailed'!AZ183:BK183)</f>
        <v>20</v>
      </c>
      <c r="Q24" s="185">
        <f>SUM(INDEX('Business Plan Detailed'!$C$1:$CU$240,$F$24,P$7):INDEX('Business Plan Detailed'!$C$1:$CU$240,$F$24,Q$7))</f>
        <v>2250000</v>
      </c>
      <c r="R24" s="224">
        <f>SUM('Business Plan Detailed'!BL179:BW179,'Business Plan Detailed'!BL181:BW181,'Business Plan Detailed'!BL183:BW183)</f>
        <v>40</v>
      </c>
      <c r="S24" s="185">
        <f>SUM(INDEX('Business Plan Detailed'!$C$1:$CU$240,$F$24,R$7):INDEX('Business Plan Detailed'!$C$1:$CU$240,$F$24,S$7))</f>
        <v>4500000</v>
      </c>
      <c r="T24" s="224">
        <f>SUM('Business Plan Detailed'!BX179:CI179,'Business Plan Detailed'!BX181:CI181,'Business Plan Detailed'!BX183:CI183)</f>
        <v>60</v>
      </c>
      <c r="U24" s="185">
        <f>SUM(INDEX('Business Plan Detailed'!$C$1:$CU$240,$F$24,T$7):INDEX('Business Plan Detailed'!$C$1:$CU$240,$F$24,U$7))</f>
        <v>6720000</v>
      </c>
      <c r="V24" s="224">
        <f>SUM('Business Plan Detailed'!CJ179:CU179,'Business Plan Detailed'!CJ181:CU181,'Business Plan Detailed'!CJ183:CU183)</f>
        <v>80</v>
      </c>
      <c r="W24" s="185">
        <f>SUM(INDEX('Business Plan Detailed'!$C$1:$CU$240,$F$24,V$7):INDEX('Business Plan Detailed'!$C$1:$CU$240,$F$24,W$7))</f>
        <v>8960000</v>
      </c>
    </row>
    <row r="25" spans="1:25" ht="15.75" customHeight="1" outlineLevel="1">
      <c r="E25" s="213"/>
      <c r="F25" s="212">
        <v>185</v>
      </c>
      <c r="G25" s="188" t="s">
        <v>179</v>
      </c>
      <c r="H25" s="225">
        <f>'Business Plan Detailed'!O186+'Business Plan Detailed'!O188+'Business Plan Detailed'!O190+'Business Plan Detailed'!O192+'Business Plan Detailed'!O194+'Business Plan Detailed'!O196</f>
        <v>0</v>
      </c>
      <c r="I25" s="185">
        <f>SUM('Business Plan Detailed'!D185:O185)</f>
        <v>0</v>
      </c>
      <c r="J25" s="225">
        <f>'Business Plan Detailed'!AA186+'Business Plan Detailed'!AB188+'Business Plan Detailed'!AB190+'Business Plan Detailed'!AB192+'Business Plan Detailed'!AB194+'Business Plan Detailed'!AB196</f>
        <v>0</v>
      </c>
      <c r="K25" s="185">
        <f>SUM('Business Plan Detailed'!P185:AA185)</f>
        <v>0</v>
      </c>
      <c r="L25" s="225">
        <f>'Business Plan Detailed'!AM186+'Business Plan Detailed'!AM188+'Business Plan Detailed'!AM190+'Business Plan Detailed'!AM192+'Business Plan Detailed'!AM194+'Business Plan Detailed'!AM196</f>
        <v>3</v>
      </c>
      <c r="M25" s="185">
        <f>SUM(INDEX('Business Plan Detailed'!$C$1:$CU$240,'Summary BP'!$F$25,L$7):INDEX('Business Plan Detailed'!$C$1:$CU$240,'Summary BP'!$F$25,M$7))</f>
        <v>50000</v>
      </c>
      <c r="N25" s="225">
        <f>'Business Plan Detailed'!AY186+'Business Plan Detailed'!AY188+'Business Plan Detailed'!AY190+'Business Plan Detailed'!AY192+'Business Plan Detailed'!AY194+'Business Plan Detailed'!AY196</f>
        <v>9</v>
      </c>
      <c r="O25" s="185">
        <f>SUM(INDEX('Business Plan Detailed'!$C$1:$CU$240,'Summary BP'!$F$25,N$7):INDEX('Business Plan Detailed'!$C$1:$CU$240,'Summary BP'!$F$25,O$7))</f>
        <v>132860</v>
      </c>
      <c r="P25" s="225">
        <f>'Business Plan Detailed'!BK186+'Business Plan Detailed'!BK188+'Business Plan Detailed'!BK190+'Business Plan Detailed'!BK192+'Business Plan Detailed'!BK194+'Business Plan Detailed'!BK196</f>
        <v>29</v>
      </c>
      <c r="Q25" s="185">
        <f>SUM('Business Plan Detailed'!AZ185:BK185)</f>
        <v>472760</v>
      </c>
      <c r="R25" s="225">
        <f>'Business Plan Detailed'!BW186+'Business Plan Detailed'!BW188+'Business Plan Detailed'!BW190+'Business Plan Detailed'!BW192+'Business Plan Detailed'!BW194+'Business Plan Detailed'!BW196</f>
        <v>69</v>
      </c>
      <c r="S25" s="185">
        <f>SUM('Business Plan Detailed'!BL185:BW185)</f>
        <v>1147600</v>
      </c>
      <c r="T25" s="225">
        <f>'Business Plan Detailed'!CI186+'Business Plan Detailed'!CI188+'Business Plan Detailed'!CI190+'Business Plan Detailed'!CI192+'Business Plan Detailed'!CI194+'Business Plan Detailed'!CI196</f>
        <v>129</v>
      </c>
      <c r="U25" s="185">
        <f>SUM('Business Plan Detailed'!BX185:CI185)</f>
        <v>2248680</v>
      </c>
      <c r="V25" s="225">
        <f>'Business Plan Detailed'!CU186+'Business Plan Detailed'!CU188+'Business Plan Detailed'!CU190+'Business Plan Detailed'!CU192+'Business Plan Detailed'!CU194+'Business Plan Detailed'!CU196</f>
        <v>209</v>
      </c>
      <c r="W25" s="185">
        <f>SUM('Business Plan Detailed'!CJ185:CU185)</f>
        <v>3776000</v>
      </c>
      <c r="X25" s="178"/>
    </row>
    <row r="26" spans="1:25" ht="15.75" customHeight="1" outlineLevel="1">
      <c r="E26" s="213"/>
      <c r="F26" s="212">
        <v>201</v>
      </c>
      <c r="G26" s="188" t="s">
        <v>180</v>
      </c>
      <c r="H26" s="225">
        <f>'Business Plan Detailed'!O202</f>
        <v>0</v>
      </c>
      <c r="I26" s="185">
        <f>SUM(INDEX('Business Plan Detailed'!$C$1:$CU$240,$F$26,H$7):INDEX('Business Plan Detailed'!$C$1:$CU$240,$F$26,I$7))</f>
        <v>0</v>
      </c>
      <c r="J26" s="225">
        <f>'Business Plan Detailed'!AA202</f>
        <v>0</v>
      </c>
      <c r="K26" s="185">
        <f>SUM(INDEX('Business Plan Detailed'!$C$1:$CU$240,$F$26,J$7):INDEX('Business Plan Detailed'!$C$1:$CU$240,$F$26,K$7))</f>
        <v>0</v>
      </c>
      <c r="L26" s="225">
        <f>'Business Plan Detailed'!AM202</f>
        <v>0</v>
      </c>
      <c r="M26" s="185">
        <f>SUM(INDEX('Business Plan Detailed'!$C$1:$CU$240,$F$26,L$7):INDEX('Business Plan Detailed'!$C$1:$CU$240,$F$26,M$7))</f>
        <v>0</v>
      </c>
      <c r="N26" s="225">
        <f>'Business Plan Detailed'!AY202</f>
        <v>6</v>
      </c>
      <c r="O26" s="185">
        <f>SUM(INDEX('Business Plan Detailed'!$C$1:$CU$240,$F$26,N$7):INDEX('Business Plan Detailed'!$C$1:$CU$240,$F$26,O$7))</f>
        <v>81000</v>
      </c>
      <c r="P26" s="225">
        <f>'Business Plan Detailed'!BK202</f>
        <v>25</v>
      </c>
      <c r="Q26" s="185">
        <f>SUM(INDEX('Business Plan Detailed'!$C$1:$CU$240,$F$26,P$7):INDEX('Business Plan Detailed'!$C$1:$CU$240,$F$26,Q$7))</f>
        <v>855000</v>
      </c>
      <c r="R26" s="225">
        <f>'Business Plan Detailed'!BW202</f>
        <v>63</v>
      </c>
      <c r="S26" s="185">
        <f>SUM(INDEX('Business Plan Detailed'!$C$1:$CU$240,$F$26,R$7):INDEX('Business Plan Detailed'!$C$1:$CU$240,$F$26,S$7))</f>
        <v>2412000</v>
      </c>
      <c r="T26" s="225">
        <f>'Business Plan Detailed'!CI202</f>
        <v>120</v>
      </c>
      <c r="U26" s="185">
        <f>SUM(INDEX('Business Plan Detailed'!$C$1:$CU$240,$F$26,T$7):INDEX('Business Plan Detailed'!$C$1:$CU$240,$F$26,U$7))</f>
        <v>4995000</v>
      </c>
      <c r="V26" s="225">
        <f>'Business Plan Detailed'!CU202</f>
        <v>196</v>
      </c>
      <c r="W26" s="185">
        <f>SUM(INDEX('Business Plan Detailed'!$C$1:$CU$240,$F$26,V$7):INDEX('Business Plan Detailed'!$C$1:$CU$240,$F$26,W$7))</f>
        <v>8604000</v>
      </c>
    </row>
    <row r="27" spans="1:25" ht="15.75" customHeight="1">
      <c r="E27" s="208"/>
      <c r="F27" s="212"/>
      <c r="G27" s="190"/>
      <c r="H27" s="226"/>
      <c r="I27" s="185"/>
      <c r="J27" s="226"/>
      <c r="K27" s="185"/>
      <c r="L27" s="226"/>
      <c r="M27" s="185"/>
      <c r="N27" s="226"/>
      <c r="O27" s="185"/>
      <c r="P27" s="226"/>
      <c r="Q27" s="185"/>
      <c r="R27" s="226"/>
      <c r="S27" s="185"/>
      <c r="T27" s="226"/>
      <c r="U27" s="185"/>
      <c r="V27" s="226"/>
      <c r="W27" s="185"/>
    </row>
    <row r="28" spans="1:25" ht="12.75">
      <c r="A28" s="210"/>
      <c r="B28" s="210"/>
      <c r="C28" s="210"/>
      <c r="D28" s="210"/>
      <c r="E28" s="210"/>
      <c r="F28" s="211"/>
      <c r="G28" s="191" t="s">
        <v>55</v>
      </c>
      <c r="H28" s="227">
        <f t="shared" ref="H28:W28" si="1">SUM(H29:H51)</f>
        <v>5</v>
      </c>
      <c r="I28" s="187">
        <f t="shared" si="1"/>
        <v>283920</v>
      </c>
      <c r="J28" s="227">
        <f t="shared" si="1"/>
        <v>5</v>
      </c>
      <c r="K28" s="187">
        <f t="shared" si="1"/>
        <v>283920</v>
      </c>
      <c r="L28" s="227">
        <f t="shared" si="1"/>
        <v>7.3333333333333339</v>
      </c>
      <c r="M28" s="187">
        <f t="shared" si="1"/>
        <v>333060</v>
      </c>
      <c r="N28" s="227">
        <f t="shared" si="1"/>
        <v>10.833333333333334</v>
      </c>
      <c r="O28" s="187">
        <f t="shared" si="1"/>
        <v>403260</v>
      </c>
      <c r="P28" s="227">
        <f t="shared" si="1"/>
        <v>17.5</v>
      </c>
      <c r="Q28" s="187">
        <f t="shared" si="1"/>
        <v>767130</v>
      </c>
      <c r="R28" s="227">
        <f t="shared" si="1"/>
        <v>23</v>
      </c>
      <c r="S28" s="187">
        <f t="shared" si="1"/>
        <v>1169610</v>
      </c>
      <c r="T28" s="227">
        <f t="shared" si="1"/>
        <v>23</v>
      </c>
      <c r="U28" s="187">
        <f t="shared" si="1"/>
        <v>1375920</v>
      </c>
      <c r="V28" s="227">
        <f t="shared" si="1"/>
        <v>23</v>
      </c>
      <c r="W28" s="187">
        <f t="shared" si="1"/>
        <v>1583400</v>
      </c>
    </row>
    <row r="29" spans="1:25" ht="15.75" customHeight="1" outlineLevel="1">
      <c r="E29" s="208"/>
      <c r="F29" s="212">
        <v>85</v>
      </c>
      <c r="G29" s="84" t="s">
        <v>25</v>
      </c>
      <c r="H29" s="228">
        <f>COUNT(INDEX('Business Plan Detailed'!$C$1:$CU$240,$F$29,H$7):INDEX('Business Plan Detailed'!$C$1:$CU$240,$F$29,I$7))/12</f>
        <v>1</v>
      </c>
      <c r="I29" s="185">
        <f>(SUM(INDEX('Business Plan Detailed'!$C$1:$CU$240,$F$29,H$7):INDEX('Business Plan Detailed'!$C$1:$CU$240,$F$29,I$7)))*'Headcount Cost Assumptions'!$E8</f>
        <v>78000</v>
      </c>
      <c r="J29" s="228">
        <f>COUNT(INDEX('Business Plan Detailed'!$C$1:$CU$240,$F29,J$7):INDEX('Business Plan Detailed'!$C$1:$CU$240,$F29,K$7))/12</f>
        <v>1</v>
      </c>
      <c r="K29" s="185">
        <f>(SUM(INDEX('Business Plan Detailed'!$C$1:$CU$240,$F$29,J$7):INDEX('Business Plan Detailed'!$C$1:$CU$240,$F$29,K$7)))*'Headcount Cost Assumptions'!$E8</f>
        <v>78000</v>
      </c>
      <c r="L29" s="228">
        <f>COUNT(INDEX('Business Plan Detailed'!$C$1:$CU$240,$F29,L$7):INDEX('Business Plan Detailed'!$C$1:$CU$240,$F29,M$7))/12</f>
        <v>1</v>
      </c>
      <c r="M29" s="185">
        <f>(SUM(INDEX('Business Plan Detailed'!$C$1:$CU$240,$F$29,L$7):INDEX('Business Plan Detailed'!$C$1:$CU$240,$F$29,M$7)))*'Headcount Cost Assumptions'!$E8</f>
        <v>78000</v>
      </c>
      <c r="N29" s="228">
        <f>COUNT(INDEX('Business Plan Detailed'!$C$1:$CU$240,$F29,N$7):INDEX('Business Plan Detailed'!$C$1:$CU$240,$F29,O$7))/12</f>
        <v>1</v>
      </c>
      <c r="O29" s="185">
        <f>(SUM(INDEX('Business Plan Detailed'!$C$1:$CU$240,$F$29,N$7):INDEX('Business Plan Detailed'!$C$1:$CU$240,$F$29,O$7)))*'Headcount Cost Assumptions'!$E8</f>
        <v>78000</v>
      </c>
      <c r="P29" s="228">
        <f>COUNT(INDEX('Business Plan Detailed'!$C$1:$CU$240,$F29,P$7):INDEX('Business Plan Detailed'!$C$1:$CU$240,$F29,Q$7))/12</f>
        <v>1</v>
      </c>
      <c r="Q29" s="185">
        <f>(SUM(INDEX('Business Plan Detailed'!$C$1:$CU$240,$F$29,P$7):INDEX('Business Plan Detailed'!$C$1:$CU$240,$F$29,Q$7)))*'Headcount Cost Assumptions'!$E8</f>
        <v>78000</v>
      </c>
      <c r="R29" s="228">
        <f>COUNT(INDEX('Business Plan Detailed'!$C$1:$CU$240,$F29,R$7):INDEX('Business Plan Detailed'!$C$1:$CU$240,$F29,S$7))/12</f>
        <v>1</v>
      </c>
      <c r="S29" s="185">
        <f>(SUM(INDEX('Business Plan Detailed'!$C$1:$CU$240,$F$29,R$7):INDEX('Business Plan Detailed'!$C$1:$CU$240,$F$29,S$7)))*'Headcount Cost Assumptions'!$E8</f>
        <v>78000</v>
      </c>
      <c r="T29" s="228">
        <f>COUNT(INDEX('Business Plan Detailed'!$C$1:$CU$240,$F29,T$7):INDEX('Business Plan Detailed'!$C$1:$CU$240,$F29,U$7))/12</f>
        <v>1</v>
      </c>
      <c r="U29" s="185">
        <f>(SUM(INDEX('Business Plan Detailed'!$C$1:$CU$240,$F$29,T$7):INDEX('Business Plan Detailed'!$C$1:$CU$240,$F$29,U$7)))*'Headcount Cost Assumptions'!$E8</f>
        <v>78000</v>
      </c>
      <c r="V29" s="228">
        <f>COUNT(INDEX('Business Plan Detailed'!$C$1:$CU$240,$F29,V$7):INDEX('Business Plan Detailed'!$C$1:$CU$240,$F29,W$7))/12</f>
        <v>1</v>
      </c>
      <c r="W29" s="185">
        <f>(SUM(INDEX('Business Plan Detailed'!$C$1:$CU$240,$F$29,V$7):INDEX('Business Plan Detailed'!$C$1:$CU$240,$F$29,W$7)))*'Headcount Cost Assumptions'!$E8</f>
        <v>78000</v>
      </c>
    </row>
    <row r="30" spans="1:25" ht="15.75" customHeight="1" outlineLevel="1">
      <c r="E30" s="208"/>
      <c r="F30" s="212">
        <v>86</v>
      </c>
      <c r="G30" s="84" t="s">
        <v>26</v>
      </c>
      <c r="H30" s="228">
        <f>COUNT(INDEX('Business Plan Detailed'!$C$1:$CU$240,$F30,H$7):INDEX('Business Plan Detailed'!$C$1:$CU$240,$F30,I$7))/12</f>
        <v>1</v>
      </c>
      <c r="I30" s="185">
        <f>(SUM(INDEX('Business Plan Detailed'!$C$1:$CU$240,$F$30,H$7):INDEX('Business Plan Detailed'!$C$1:$CU$240,$F$30,I$7)))*'Headcount Cost Assumptions'!$E9</f>
        <v>78000</v>
      </c>
      <c r="J30" s="228">
        <f>COUNT(INDEX('Business Plan Detailed'!$C$1:$CU$240,$F30,J$7):INDEX('Business Plan Detailed'!$C$1:$CU$240,$F30,K$7))/12</f>
        <v>1</v>
      </c>
      <c r="K30" s="185">
        <f>(SUM(INDEX('Business Plan Detailed'!$C$1:$CU$240,$F$30,J$7):INDEX('Business Plan Detailed'!$C$1:$CU$240,$F$30,K$7)))*'Headcount Cost Assumptions'!$E9</f>
        <v>78000</v>
      </c>
      <c r="L30" s="228">
        <f>COUNT(INDEX('Business Plan Detailed'!$C$1:$CU$240,$F30,L$7):INDEX('Business Plan Detailed'!$C$1:$CU$240,$F30,M$7))/12</f>
        <v>1</v>
      </c>
      <c r="M30" s="185">
        <f>(SUM(INDEX('Business Plan Detailed'!$C$1:$CU$240,$F$30,L$7):INDEX('Business Plan Detailed'!$C$1:$CU$240,$F$30,M$7)))*'Headcount Cost Assumptions'!$E9</f>
        <v>78000</v>
      </c>
      <c r="N30" s="228">
        <f>COUNT(INDEX('Business Plan Detailed'!$C$1:$CU$240,$F30,N$7):INDEX('Business Plan Detailed'!$C$1:$CU$240,$F30,O$7))/12</f>
        <v>1</v>
      </c>
      <c r="O30" s="185">
        <f>(SUM(INDEX('Business Plan Detailed'!$C$1:$CU$240,$F$30,N$7):INDEX('Business Plan Detailed'!$C$1:$CU$240,$F$30,O$7)))*'Headcount Cost Assumptions'!$E9</f>
        <v>78000</v>
      </c>
      <c r="P30" s="228">
        <f>COUNT(INDEX('Business Plan Detailed'!$C$1:$CU$240,$F30,P$7):INDEX('Business Plan Detailed'!$C$1:$CU$240,$F30,Q$7))/12</f>
        <v>1</v>
      </c>
      <c r="Q30" s="185">
        <f>(SUM(INDEX('Business Plan Detailed'!$C$1:$CU$240,$F$30,P$7):INDEX('Business Plan Detailed'!$C$1:$CU$240,$F$30,Q$7)))*'Headcount Cost Assumptions'!$E9</f>
        <v>78000</v>
      </c>
      <c r="R30" s="228">
        <f>COUNT(INDEX('Business Plan Detailed'!$C$1:$CU$240,$F30,R$7):INDEX('Business Plan Detailed'!$C$1:$CU$240,$F30,S$7))/12</f>
        <v>1</v>
      </c>
      <c r="S30" s="185">
        <f>(SUM(INDEX('Business Plan Detailed'!$C$1:$CU$240,$F$30,R$7):INDEX('Business Plan Detailed'!$C$1:$CU$240,$F$30,S$7)))*'Headcount Cost Assumptions'!$E9</f>
        <v>78000</v>
      </c>
      <c r="T30" s="228">
        <f>COUNT(INDEX('Business Plan Detailed'!$C$1:$CU$240,$F30,T$7):INDEX('Business Plan Detailed'!$C$1:$CU$240,$F30,U$7))/12</f>
        <v>1</v>
      </c>
      <c r="U30" s="185">
        <f>(SUM(INDEX('Business Plan Detailed'!$C$1:$CU$240,$F$30,T$7):INDEX('Business Plan Detailed'!$C$1:$CU$240,$F$30,U$7)))*'Headcount Cost Assumptions'!$E9</f>
        <v>78000</v>
      </c>
      <c r="V30" s="228">
        <f>COUNT(INDEX('Business Plan Detailed'!$C$1:$CU$240,$F30,V$7):INDEX('Business Plan Detailed'!$C$1:$CU$240,$F30,W$7))/12</f>
        <v>1</v>
      </c>
      <c r="W30" s="185">
        <f>(SUM(INDEX('Business Plan Detailed'!$C$1:$CU$240,$F$30,V$7):INDEX('Business Plan Detailed'!$C$1:$CU$240,$F$30,W$7)))*'Headcount Cost Assumptions'!$E9</f>
        <v>78000</v>
      </c>
    </row>
    <row r="31" spans="1:25" ht="15.75" customHeight="1" outlineLevel="1">
      <c r="E31" s="208"/>
      <c r="F31" s="212">
        <v>87</v>
      </c>
      <c r="G31" s="84" t="s">
        <v>27</v>
      </c>
      <c r="H31" s="228">
        <f>COUNT(INDEX('Business Plan Detailed'!$C$1:$CU$240,$F31,H$7):INDEX('Business Plan Detailed'!$C$1:$CU$240,$F31,I$7))/12</f>
        <v>1</v>
      </c>
      <c r="I31" s="185">
        <f>(SUM(INDEX('Business Plan Detailed'!$C$1:$CU$240,$F$31,H$7):INDEX('Business Plan Detailed'!$C$1:$CU$240,$F$31,I$7)))*'Headcount Cost Assumptions'!$E10</f>
        <v>46800</v>
      </c>
      <c r="J31" s="228">
        <f>COUNT(INDEX('Business Plan Detailed'!$C$1:$CU$240,$F31,J$7):INDEX('Business Plan Detailed'!$C$1:$CU$240,$F31,K$7))/12</f>
        <v>1</v>
      </c>
      <c r="K31" s="185">
        <f>(SUM(INDEX('Business Plan Detailed'!$C$1:$CU$240,$F$31,J$7):INDEX('Business Plan Detailed'!$C$1:$CU$240,$F$31,K$7)))*'Headcount Cost Assumptions'!$E10</f>
        <v>46800</v>
      </c>
      <c r="L31" s="228">
        <f>COUNT(INDEX('Business Plan Detailed'!$C$1:$CU$240,$F31,L$7):INDEX('Business Plan Detailed'!$C$1:$CU$240,$F31,M$7))/12</f>
        <v>1</v>
      </c>
      <c r="M31" s="185">
        <f>(SUM(INDEX('Business Plan Detailed'!$C$1:$CU$240,$F$31,L$7):INDEX('Business Plan Detailed'!$C$1:$CU$240,$F$31,M$7)))*'Headcount Cost Assumptions'!$E10</f>
        <v>46800</v>
      </c>
      <c r="N31" s="228">
        <f>COUNT(INDEX('Business Plan Detailed'!$C$1:$CU$240,$F31,N$7):INDEX('Business Plan Detailed'!$C$1:$CU$240,$F31,O$7))/12</f>
        <v>1</v>
      </c>
      <c r="O31" s="185">
        <f>(SUM(INDEX('Business Plan Detailed'!$C$1:$CU$240,$F$31,N$7):INDEX('Business Plan Detailed'!$C$1:$CU$240,$F$31,O$7)))*'Headcount Cost Assumptions'!$E10</f>
        <v>46800</v>
      </c>
      <c r="P31" s="228">
        <f>COUNT(INDEX('Business Plan Detailed'!$C$1:$CU$240,$F31,P$7):INDEX('Business Plan Detailed'!$C$1:$CU$240,$F31,Q$7))/12</f>
        <v>1</v>
      </c>
      <c r="Q31" s="185">
        <f>(SUM(INDEX('Business Plan Detailed'!$C$1:$CU$240,$F$31,P$7):INDEX('Business Plan Detailed'!$C$1:$CU$240,$F$31,Q$7)))*'Headcount Cost Assumptions'!$E10</f>
        <v>81900</v>
      </c>
      <c r="R31" s="228">
        <f>COUNT(INDEX('Business Plan Detailed'!$C$1:$CU$240,$F31,R$7):INDEX('Business Plan Detailed'!$C$1:$CU$240,$F31,S$7))/12</f>
        <v>1</v>
      </c>
      <c r="S31" s="185">
        <f>(SUM(INDEX('Business Plan Detailed'!$C$1:$CU$240,$F$31,R$7):INDEX('Business Plan Detailed'!$C$1:$CU$240,$F$31,S$7)))*'Headcount Cost Assumptions'!$E10</f>
        <v>93600</v>
      </c>
      <c r="T31" s="228">
        <f>COUNT(INDEX('Business Plan Detailed'!$C$1:$CU$240,$F31,T$7):INDEX('Business Plan Detailed'!$C$1:$CU$240,$F31,U$7))/12</f>
        <v>1</v>
      </c>
      <c r="U31" s="185">
        <f>(SUM(INDEX('Business Plan Detailed'!$C$1:$CU$240,$F$31,T$7):INDEX('Business Plan Detailed'!$C$1:$CU$240,$F$31,U$7)))*'Headcount Cost Assumptions'!$E10</f>
        <v>93600</v>
      </c>
      <c r="V31" s="228">
        <f>COUNT(INDEX('Business Plan Detailed'!$C$1:$CU$240,$F31,V$7):INDEX('Business Plan Detailed'!$C$1:$CU$240,$F31,W$7))/12</f>
        <v>1</v>
      </c>
      <c r="W31" s="185">
        <f>(SUM(INDEX('Business Plan Detailed'!$C$1:$CU$240,$F$31,V$7):INDEX('Business Plan Detailed'!$C$1:$CU$240,$F$31,W$7)))*'Headcount Cost Assumptions'!$E10</f>
        <v>93600</v>
      </c>
    </row>
    <row r="32" spans="1:25" ht="15.75" customHeight="1" outlineLevel="1">
      <c r="E32" s="208"/>
      <c r="F32" s="212">
        <v>88</v>
      </c>
      <c r="G32" s="84" t="s">
        <v>28</v>
      </c>
      <c r="H32" s="228">
        <f>COUNT(INDEX('Business Plan Detailed'!$C$1:$CU$240,$F32,H$7):INDEX('Business Plan Detailed'!$C$1:$CU$240,$F32,I$7))/12</f>
        <v>1</v>
      </c>
      <c r="I32" s="185">
        <f>(SUM(INDEX('Business Plan Detailed'!$C$1:$CU$240,$F$32,H$7):INDEX('Business Plan Detailed'!$C$1:$CU$240,$F$32,I$7)))*'Headcount Cost Assumptions'!$E11</f>
        <v>46800</v>
      </c>
      <c r="J32" s="228">
        <f>COUNT(INDEX('Business Plan Detailed'!$C$1:$CU$240,$F32,J$7):INDEX('Business Plan Detailed'!$C$1:$CU$240,$F32,K$7))/12</f>
        <v>1</v>
      </c>
      <c r="K32" s="185">
        <f>(SUM(INDEX('Business Plan Detailed'!$C$1:$CU$240,$F$32,J$7):INDEX('Business Plan Detailed'!$C$1:$CU$240,$F$32,K$7)))*'Headcount Cost Assumptions'!$E11</f>
        <v>46800</v>
      </c>
      <c r="L32" s="228">
        <f>COUNT(INDEX('Business Plan Detailed'!$C$1:$CU$240,$F32,L$7):INDEX('Business Plan Detailed'!$C$1:$CU$240,$F32,M$7))/12</f>
        <v>1</v>
      </c>
      <c r="M32" s="185">
        <f>(SUM(INDEX('Business Plan Detailed'!$C$1:$CU$240,$F$32,L$7):INDEX('Business Plan Detailed'!$C$1:$CU$240,$F$32,M$7)))*'Headcount Cost Assumptions'!$E11</f>
        <v>46800</v>
      </c>
      <c r="N32" s="228">
        <f>COUNT(INDEX('Business Plan Detailed'!$C$1:$CU$240,$F32,N$7):INDEX('Business Plan Detailed'!$C$1:$CU$240,$F32,O$7))/12</f>
        <v>1</v>
      </c>
      <c r="O32" s="185">
        <f>(SUM(INDEX('Business Plan Detailed'!$C$1:$CU$240,$F$32,N$7):INDEX('Business Plan Detailed'!$C$1:$CU$240,$F$32,O$7)))*'Headcount Cost Assumptions'!$E11</f>
        <v>46800</v>
      </c>
      <c r="P32" s="228">
        <f>COUNT(INDEX('Business Plan Detailed'!$C$1:$CU$240,$F32,P$7):INDEX('Business Plan Detailed'!$C$1:$CU$240,$F32,Q$7))/12</f>
        <v>1</v>
      </c>
      <c r="Q32" s="185">
        <f>(SUM(INDEX('Business Plan Detailed'!$C$1:$CU$240,$F$32,P$7):INDEX('Business Plan Detailed'!$C$1:$CU$240,$F$32,Q$7)))*'Headcount Cost Assumptions'!$E11</f>
        <v>81900</v>
      </c>
      <c r="R32" s="228">
        <f>COUNT(INDEX('Business Plan Detailed'!$C$1:$CU$240,$F32,R$7):INDEX('Business Plan Detailed'!$C$1:$CU$240,$F32,S$7))/12</f>
        <v>1</v>
      </c>
      <c r="S32" s="185">
        <f>(SUM(INDEX('Business Plan Detailed'!$C$1:$CU$240,$F$32,R$7):INDEX('Business Plan Detailed'!$C$1:$CU$240,$F$32,S$7)))*'Headcount Cost Assumptions'!$E11</f>
        <v>93600</v>
      </c>
      <c r="T32" s="228">
        <f>COUNT(INDEX('Business Plan Detailed'!$C$1:$CU$240,$F32,T$7):INDEX('Business Plan Detailed'!$C$1:$CU$240,$F32,U$7))/12</f>
        <v>1</v>
      </c>
      <c r="U32" s="185">
        <f>(SUM(INDEX('Business Plan Detailed'!$C$1:$CU$240,$F$32,T$7):INDEX('Business Plan Detailed'!$C$1:$CU$240,$F$32,U$7)))*'Headcount Cost Assumptions'!$E11</f>
        <v>93600</v>
      </c>
      <c r="V32" s="228">
        <f>COUNT(INDEX('Business Plan Detailed'!$C$1:$CU$240,$F32,V$7):INDEX('Business Plan Detailed'!$C$1:$CU$240,$F32,W$7))/12</f>
        <v>1</v>
      </c>
      <c r="W32" s="185">
        <f>(SUM(INDEX('Business Plan Detailed'!$C$1:$CU$240,$F$32,V$7):INDEX('Business Plan Detailed'!$C$1:$CU$240,$F$32,W$7)))*'Headcount Cost Assumptions'!$E11</f>
        <v>93600</v>
      </c>
    </row>
    <row r="33" spans="5:24" ht="15.75" customHeight="1" outlineLevel="1">
      <c r="E33" s="208"/>
      <c r="F33" s="212">
        <v>89</v>
      </c>
      <c r="G33" s="84" t="s">
        <v>56</v>
      </c>
      <c r="H33" s="228">
        <f>COUNT(INDEX('Business Plan Detailed'!$C$1:$CU$240,$F33,H$7):INDEX('Business Plan Detailed'!$C$1:$CU$240,$F33,I$7))/12</f>
        <v>1</v>
      </c>
      <c r="I33" s="185">
        <f>(SUM(INDEX('Business Plan Detailed'!$C$1:$CU$240,$F$33,H$7):INDEX('Business Plan Detailed'!$C$1:$CU$240,$F$33,I$7)))*'Headcount Cost Assumptions'!$E12</f>
        <v>34320</v>
      </c>
      <c r="J33" s="228">
        <f>COUNT(INDEX('Business Plan Detailed'!$C$1:$CU$240,$F33,J$7):INDEX('Business Plan Detailed'!$C$1:$CU$240,$F33,K$7))/12</f>
        <v>1</v>
      </c>
      <c r="K33" s="185">
        <f>(SUM(INDEX('Business Plan Detailed'!$C$1:$CU$240,$F$33,J$7):INDEX('Business Plan Detailed'!$C$1:$CU$240,$F$33,K$7)))*'Headcount Cost Assumptions'!$E12</f>
        <v>34320</v>
      </c>
      <c r="L33" s="228">
        <f>COUNT(INDEX('Business Plan Detailed'!$C$1:$CU$240,$F33,L$7):INDEX('Business Plan Detailed'!$C$1:$CU$240,$F33,M$7))/12</f>
        <v>1</v>
      </c>
      <c r="M33" s="185">
        <f>(SUM(INDEX('Business Plan Detailed'!$C$1:$CU$240,$F$33,L$7):INDEX('Business Plan Detailed'!$C$1:$CU$240,$F$33,M$7)))*'Headcount Cost Assumptions'!$E12</f>
        <v>34320</v>
      </c>
      <c r="N33" s="228">
        <f>COUNT(INDEX('Business Plan Detailed'!$C$1:$CU$240,$F33,N$7):INDEX('Business Plan Detailed'!$C$1:$CU$240,$F33,O$7))/12</f>
        <v>1</v>
      </c>
      <c r="O33" s="185">
        <f>(SUM(INDEX('Business Plan Detailed'!$C$1:$CU$240,$F$33,N$7):INDEX('Business Plan Detailed'!$C$1:$CU$240,$F$33,O$7)))*'Headcount Cost Assumptions'!$E12</f>
        <v>34320</v>
      </c>
      <c r="P33" s="228">
        <f>COUNT(INDEX('Business Plan Detailed'!$C$1:$CU$240,$F33,P$7):INDEX('Business Plan Detailed'!$C$1:$CU$240,$F33,Q$7))/12</f>
        <v>1</v>
      </c>
      <c r="Q33" s="185">
        <f>(SUM(INDEX('Business Plan Detailed'!$C$1:$CU$240,$F$33,P$7):INDEX('Business Plan Detailed'!$C$1:$CU$240,$F$33,Q$7)))*'Headcount Cost Assumptions'!$E12</f>
        <v>34320</v>
      </c>
      <c r="R33" s="228">
        <f>COUNT(INDEX('Business Plan Detailed'!$C$1:$CU$240,$F33,R$7):INDEX('Business Plan Detailed'!$C$1:$CU$240,$F33,S$7))/12</f>
        <v>1</v>
      </c>
      <c r="S33" s="185">
        <f>(SUM(INDEX('Business Plan Detailed'!$C$1:$CU$240,$F$33,R$7):INDEX('Business Plan Detailed'!$C$1:$CU$240,$F$33,S$7)))*'Headcount Cost Assumptions'!$E12</f>
        <v>34320</v>
      </c>
      <c r="T33" s="228">
        <f>COUNT(INDEX('Business Plan Detailed'!$C$1:$CU$240,$F33,T$7):INDEX('Business Plan Detailed'!$C$1:$CU$240,$F33,U$7))/12</f>
        <v>1</v>
      </c>
      <c r="U33" s="185">
        <f>(SUM(INDEX('Business Plan Detailed'!$C$1:$CU$240,$F$33,T$7):INDEX('Business Plan Detailed'!$C$1:$CU$240,$F$33,U$7)))*'Headcount Cost Assumptions'!$E12</f>
        <v>34320</v>
      </c>
      <c r="V33" s="228">
        <f>COUNT(INDEX('Business Plan Detailed'!$C$1:$CU$240,$F33,V$7):INDEX('Business Plan Detailed'!$C$1:$CU$240,$F33,W$7))/12</f>
        <v>1</v>
      </c>
      <c r="W33" s="185">
        <f>(SUM(INDEX('Business Plan Detailed'!$C$1:$CU$240,$F$33,V$7):INDEX('Business Plan Detailed'!$C$1:$CU$240,$F$33,W$7)))*'Headcount Cost Assumptions'!$E12</f>
        <v>34320</v>
      </c>
      <c r="X33" s="178"/>
    </row>
    <row r="34" spans="5:24" ht="15.75" customHeight="1" outlineLevel="1">
      <c r="E34" s="208"/>
      <c r="F34" s="212">
        <v>90</v>
      </c>
      <c r="G34" s="84" t="s">
        <v>30</v>
      </c>
      <c r="H34" s="228">
        <f>COUNT(INDEX('Business Plan Detailed'!$C$1:$CU$240,$F34,H$7):INDEX('Business Plan Detailed'!$C$1:$CU$240,$F34,I$7))/12</f>
        <v>0</v>
      </c>
      <c r="I34" s="185">
        <f>(SUM(INDEX('Business Plan Detailed'!$C$1:$CU$240,$F$34,H$7):INDEX('Business Plan Detailed'!$C$1:$CU$240,$F$34,I$7)))*'Headcount Cost Assumptions'!$E13</f>
        <v>0</v>
      </c>
      <c r="J34" s="228">
        <f>COUNT(INDEX('Business Plan Detailed'!$C$1:$CU$240,$F34,J$7):INDEX('Business Plan Detailed'!$C$1:$CU$240,$F34,K$7))/12</f>
        <v>0</v>
      </c>
      <c r="K34" s="185">
        <f>(SUM(INDEX('Business Plan Detailed'!$C$1:$CU$240,$F$34,J$7):INDEX('Business Plan Detailed'!$C$1:$CU$240,$F$34,K$7)))*'Headcount Cost Assumptions'!$E13</f>
        <v>0</v>
      </c>
      <c r="L34" s="228">
        <f>COUNT(INDEX('Business Plan Detailed'!$C$1:$CU$240,$F34,L$7):INDEX('Business Plan Detailed'!$C$1:$CU$240,$F34,M$7))/12</f>
        <v>1</v>
      </c>
      <c r="M34" s="185">
        <f>(SUM(INDEX('Business Plan Detailed'!$C$1:$CU$240,$F$34,L$7):INDEX('Business Plan Detailed'!$C$1:$CU$240,$F$34,M$7)))*'Headcount Cost Assumptions'!$E13</f>
        <v>18720</v>
      </c>
      <c r="N34" s="228">
        <f>COUNT(INDEX('Business Plan Detailed'!$C$1:$CU$240,$F34,N$7):INDEX('Business Plan Detailed'!$C$1:$CU$240,$F34,O$7))/12</f>
        <v>1</v>
      </c>
      <c r="O34" s="185">
        <f>(SUM(INDEX('Business Plan Detailed'!$C$1:$CU$240,$F$34,N$7):INDEX('Business Plan Detailed'!$C$1:$CU$240,$F$34,O$7)))*'Headcount Cost Assumptions'!$E13</f>
        <v>18720</v>
      </c>
      <c r="P34" s="228">
        <f>COUNT(INDEX('Business Plan Detailed'!$C$1:$CU$240,$F34,P$7):INDEX('Business Plan Detailed'!$C$1:$CU$240,$F34,Q$7))/12</f>
        <v>1</v>
      </c>
      <c r="Q34" s="185">
        <f>(SUM(INDEX('Business Plan Detailed'!$C$1:$CU$240,$F$34,P$7):INDEX('Business Plan Detailed'!$C$1:$CU$240,$F$34,Q$7)))*'Headcount Cost Assumptions'!$E13</f>
        <v>32760</v>
      </c>
      <c r="R34" s="228">
        <f>COUNT(INDEX('Business Plan Detailed'!$C$1:$CU$240,$F34,R$7):INDEX('Business Plan Detailed'!$C$1:$CU$240,$F34,S$7))/12</f>
        <v>1</v>
      </c>
      <c r="S34" s="185">
        <f>(SUM(INDEX('Business Plan Detailed'!$C$1:$CU$240,$F$34,R$7):INDEX('Business Plan Detailed'!$C$1:$CU$240,$F$34,S$7)))*'Headcount Cost Assumptions'!$E13</f>
        <v>37440</v>
      </c>
      <c r="T34" s="228">
        <f>COUNT(INDEX('Business Plan Detailed'!$C$1:$CU$240,$F34,T$7):INDEX('Business Plan Detailed'!$C$1:$CU$240,$F34,U$7))/12</f>
        <v>1</v>
      </c>
      <c r="U34" s="185">
        <f>(SUM(INDEX('Business Plan Detailed'!$C$1:$CU$240,$F$34,T$7):INDEX('Business Plan Detailed'!$C$1:$CU$240,$F$34,U$7)))*'Headcount Cost Assumptions'!$E13</f>
        <v>37440</v>
      </c>
      <c r="V34" s="228">
        <f>COUNT(INDEX('Business Plan Detailed'!$C$1:$CU$240,$F34,V$7):INDEX('Business Plan Detailed'!$C$1:$CU$240,$F34,W$7))/12</f>
        <v>1</v>
      </c>
      <c r="W34" s="185">
        <f>(SUM(INDEX('Business Plan Detailed'!$C$1:$CU$240,$F$34,V$7):INDEX('Business Plan Detailed'!$C$1:$CU$240,$F$34,W$7)))*'Headcount Cost Assumptions'!$E13</f>
        <v>37440</v>
      </c>
      <c r="X34" s="178"/>
    </row>
    <row r="35" spans="5:24" ht="15.75" customHeight="1" outlineLevel="1">
      <c r="E35" s="208"/>
      <c r="F35" s="212">
        <v>91</v>
      </c>
      <c r="G35" s="84" t="s">
        <v>31</v>
      </c>
      <c r="H35" s="228">
        <f>COUNT(INDEX('Business Plan Detailed'!$C$1:$CU$240,$F35,H$7):INDEX('Business Plan Detailed'!$C$1:$CU$240,$F35,I$7))/12</f>
        <v>0</v>
      </c>
      <c r="I35" s="185">
        <f>(SUM(INDEX('Business Plan Detailed'!$C$1:$CU$240,$F$35,H$7):INDEX('Business Plan Detailed'!$C$1:$CU$240,$F$35,I$7)))*'Headcount Cost Assumptions'!$E14</f>
        <v>0</v>
      </c>
      <c r="J35" s="228">
        <f>COUNT(INDEX('Business Plan Detailed'!$C$1:$CU$240,$F35,J$7):INDEX('Business Plan Detailed'!$C$1:$CU$240,$F35,K$7))/12</f>
        <v>0</v>
      </c>
      <c r="K35" s="185">
        <f>(SUM(INDEX('Business Plan Detailed'!$C$1:$CU$240,$F$35,J$7):INDEX('Business Plan Detailed'!$C$1:$CU$240,$F$35,K$7)))*'Headcount Cost Assumptions'!$E14</f>
        <v>0</v>
      </c>
      <c r="L35" s="228">
        <f>COUNT(INDEX('Business Plan Detailed'!$C$1:$CU$240,$F35,L$7):INDEX('Business Plan Detailed'!$C$1:$CU$240,$F35,M$7))/12</f>
        <v>1</v>
      </c>
      <c r="M35" s="185">
        <f>(SUM(INDEX('Business Plan Detailed'!$C$1:$CU$240,$F$35,L$7):INDEX('Business Plan Detailed'!$C$1:$CU$240,$F$35,M$7)))*'Headcount Cost Assumptions'!$E14</f>
        <v>23400</v>
      </c>
      <c r="N35" s="228">
        <f>COUNT(INDEX('Business Plan Detailed'!$C$1:$CU$240,$F35,N$7):INDEX('Business Plan Detailed'!$C$1:$CU$240,$F35,O$7))/12</f>
        <v>1</v>
      </c>
      <c r="O35" s="185">
        <f>(SUM(INDEX('Business Plan Detailed'!$C$1:$CU$240,$F$35,N$7):INDEX('Business Plan Detailed'!$C$1:$CU$240,$F$35,O$7)))*'Headcount Cost Assumptions'!$E14</f>
        <v>23400</v>
      </c>
      <c r="P35" s="228">
        <f>COUNT(INDEX('Business Plan Detailed'!$C$1:$CU$240,$F35,P$7):INDEX('Business Plan Detailed'!$C$1:$CU$240,$F35,Q$7))/12</f>
        <v>1</v>
      </c>
      <c r="Q35" s="185">
        <f>(SUM(INDEX('Business Plan Detailed'!$C$1:$CU$240,$F$35,P$7):INDEX('Business Plan Detailed'!$C$1:$CU$240,$F$35,Q$7)))*'Headcount Cost Assumptions'!$E14</f>
        <v>23400</v>
      </c>
      <c r="R35" s="228">
        <f>COUNT(INDEX('Business Plan Detailed'!$C$1:$CU$240,$F35,R$7):INDEX('Business Plan Detailed'!$C$1:$CU$240,$F35,S$7))/12</f>
        <v>1</v>
      </c>
      <c r="S35" s="185">
        <f>(SUM(INDEX('Business Plan Detailed'!$C$1:$CU$240,$F$35,R$7):INDEX('Business Plan Detailed'!$C$1:$CU$240,$F$35,S$7)))*'Headcount Cost Assumptions'!$E14</f>
        <v>23400</v>
      </c>
      <c r="T35" s="228">
        <f>COUNT(INDEX('Business Plan Detailed'!$C$1:$CU$240,$F35,T$7):INDEX('Business Plan Detailed'!$C$1:$CU$240,$F35,U$7))/12</f>
        <v>1</v>
      </c>
      <c r="U35" s="185">
        <f>(SUM(INDEX('Business Plan Detailed'!$C$1:$CU$240,$F$35,T$7):INDEX('Business Plan Detailed'!$C$1:$CU$240,$F$35,U$7)))*'Headcount Cost Assumptions'!$E14</f>
        <v>23400</v>
      </c>
      <c r="V35" s="228">
        <f>COUNT(INDEX('Business Plan Detailed'!$C$1:$CU$240,$F35,V$7):INDEX('Business Plan Detailed'!$C$1:$CU$240,$F35,W$7))/12</f>
        <v>1</v>
      </c>
      <c r="W35" s="185">
        <f>(SUM(INDEX('Business Plan Detailed'!$C$1:$CU$240,$F$35,V$7):INDEX('Business Plan Detailed'!$C$1:$CU$240,$F$35,W$7)))*'Headcount Cost Assumptions'!$E14</f>
        <v>23400</v>
      </c>
      <c r="X35" s="178"/>
    </row>
    <row r="36" spans="5:24" ht="15.75" customHeight="1" outlineLevel="1">
      <c r="E36" s="208"/>
      <c r="F36" s="212">
        <v>92</v>
      </c>
      <c r="G36" s="84" t="s">
        <v>32</v>
      </c>
      <c r="H36" s="228">
        <f>COUNT(INDEX('Business Plan Detailed'!$C$1:$CU$240,$F36,H$7):INDEX('Business Plan Detailed'!$C$1:$CU$240,$F36,I$7))/12</f>
        <v>0</v>
      </c>
      <c r="I36" s="185">
        <f>(SUM(INDEX('Business Plan Detailed'!$C$1:$CU$240,$F$36,H$7):INDEX('Business Plan Detailed'!$C$1:$CU$240,$F$36,I$7)))*'Headcount Cost Assumptions'!$E15</f>
        <v>0</v>
      </c>
      <c r="J36" s="228">
        <f>COUNT(INDEX('Business Plan Detailed'!$C$1:$CU$240,$F36,J$7):INDEX('Business Plan Detailed'!$C$1:$CU$240,$F36,K$7))/12</f>
        <v>0</v>
      </c>
      <c r="K36" s="185">
        <f>(SUM(INDEX('Business Plan Detailed'!$C$1:$CU$240,$F$36,J$7):INDEX('Business Plan Detailed'!$C$1:$CU$240,$F$36,K$7)))*'Headcount Cost Assumptions'!$E15</f>
        <v>0</v>
      </c>
      <c r="L36" s="228">
        <f>COUNT(INDEX('Business Plan Detailed'!$C$1:$CU$240,$F36,L$7):INDEX('Business Plan Detailed'!$C$1:$CU$240,$F36,M$7))/12</f>
        <v>0.16666666666666666</v>
      </c>
      <c r="M36" s="185">
        <f>(SUM(INDEX('Business Plan Detailed'!$C$1:$CU$240,$F$36,L$7):INDEX('Business Plan Detailed'!$C$1:$CU$240,$F$36,M$7)))*'Headcount Cost Assumptions'!$E15</f>
        <v>3120</v>
      </c>
      <c r="N36" s="228">
        <f>COUNT(INDEX('Business Plan Detailed'!$C$1:$CU$240,$F36,N$7):INDEX('Business Plan Detailed'!$C$1:$CU$240,$F36,O$7))/12</f>
        <v>1</v>
      </c>
      <c r="O36" s="185">
        <f>(SUM(INDEX('Business Plan Detailed'!$C$1:$CU$240,$F$36,N$7):INDEX('Business Plan Detailed'!$C$1:$CU$240,$F$36,O$7)))*'Headcount Cost Assumptions'!$E15</f>
        <v>18720</v>
      </c>
      <c r="P36" s="228">
        <f>COUNT(INDEX('Business Plan Detailed'!$C$1:$CU$240,$F36,P$7):INDEX('Business Plan Detailed'!$C$1:$CU$240,$F36,Q$7))/12</f>
        <v>1</v>
      </c>
      <c r="Q36" s="185">
        <f>(SUM(INDEX('Business Plan Detailed'!$C$1:$CU$240,$F$36,P$7):INDEX('Business Plan Detailed'!$C$1:$CU$240,$F$36,Q$7)))*'Headcount Cost Assumptions'!$E15</f>
        <v>18720</v>
      </c>
      <c r="R36" s="228">
        <f>COUNT(INDEX('Business Plan Detailed'!$C$1:$CU$240,$F36,R$7):INDEX('Business Plan Detailed'!$C$1:$CU$240,$F36,S$7))/12</f>
        <v>1</v>
      </c>
      <c r="S36" s="185">
        <f>(SUM(INDEX('Business Plan Detailed'!$C$1:$CU$240,$F$36,R$7):INDEX('Business Plan Detailed'!$C$1:$CU$240,$F$36,S$7)))*'Headcount Cost Assumptions'!$E15</f>
        <v>18720</v>
      </c>
      <c r="T36" s="228">
        <f>COUNT(INDEX('Business Plan Detailed'!$C$1:$CU$240,$F36,T$7):INDEX('Business Plan Detailed'!$C$1:$CU$240,$F36,U$7))/12</f>
        <v>1</v>
      </c>
      <c r="U36" s="185">
        <f>(SUM(INDEX('Business Plan Detailed'!$C$1:$CU$240,$F$36,T$7):INDEX('Business Plan Detailed'!$C$1:$CU$240,$F$36,U$7)))*'Headcount Cost Assumptions'!$E15</f>
        <v>18720</v>
      </c>
      <c r="V36" s="228">
        <f>COUNT(INDEX('Business Plan Detailed'!$C$1:$CU$240,$F36,V$7):INDEX('Business Plan Detailed'!$C$1:$CU$240,$F36,W$7))/12</f>
        <v>1</v>
      </c>
      <c r="W36" s="185">
        <f>(SUM(INDEX('Business Plan Detailed'!$C$1:$CU$240,$F$36,V$7):INDEX('Business Plan Detailed'!$C$1:$CU$240,$F$36,W$7)))*'Headcount Cost Assumptions'!$E15</f>
        <v>18720</v>
      </c>
      <c r="X36" s="178"/>
    </row>
    <row r="37" spans="5:24" ht="15.75" customHeight="1" outlineLevel="1">
      <c r="E37" s="208"/>
      <c r="F37" s="212">
        <v>93</v>
      </c>
      <c r="G37" s="84" t="s">
        <v>33</v>
      </c>
      <c r="H37" s="228">
        <f>COUNT(INDEX('Business Plan Detailed'!$C$1:$CU$240,$F37,H$7):INDEX('Business Plan Detailed'!$C$1:$CU$240,$F37,I$7))/12</f>
        <v>0</v>
      </c>
      <c r="I37" s="185">
        <f>(SUM(INDEX('Business Plan Detailed'!$C$1:$CU$240,$F$37,H$7):INDEX('Business Plan Detailed'!$C$1:$CU$240,$F$37,I$7)))*'Headcount Cost Assumptions'!$E16</f>
        <v>0</v>
      </c>
      <c r="J37" s="228">
        <f>COUNT(INDEX('Business Plan Detailed'!$C$1:$CU$240,$F37,J$7):INDEX('Business Plan Detailed'!$C$1:$CU$240,$F37,K$7))/12</f>
        <v>0</v>
      </c>
      <c r="K37" s="185">
        <f>(SUM(INDEX('Business Plan Detailed'!$C$1:$CU$240,$F$37,J$7):INDEX('Business Plan Detailed'!$C$1:$CU$240,$F$37,K$7)))*'Headcount Cost Assumptions'!$E16</f>
        <v>0</v>
      </c>
      <c r="L37" s="228">
        <f>COUNT(INDEX('Business Plan Detailed'!$C$1:$CU$240,$F37,L$7):INDEX('Business Plan Detailed'!$C$1:$CU$240,$F37,M$7))/12</f>
        <v>0.16666666666666666</v>
      </c>
      <c r="M37" s="185">
        <f>(SUM(INDEX('Business Plan Detailed'!$C$1:$CU$240,$F$37,L$7):INDEX('Business Plan Detailed'!$C$1:$CU$240,$F$37,M$7)))*'Headcount Cost Assumptions'!$E16</f>
        <v>3900</v>
      </c>
      <c r="N37" s="228">
        <f>COUNT(INDEX('Business Plan Detailed'!$C$1:$CU$240,$F37,N$7):INDEX('Business Plan Detailed'!$C$1:$CU$240,$F37,O$7))/12</f>
        <v>1</v>
      </c>
      <c r="O37" s="185">
        <f>(SUM(INDEX('Business Plan Detailed'!$C$1:$CU$240,$F$37,N$7):INDEX('Business Plan Detailed'!$C$1:$CU$240,$F$37,O$7)))*'Headcount Cost Assumptions'!$E16</f>
        <v>23400</v>
      </c>
      <c r="P37" s="228">
        <f>COUNT(INDEX('Business Plan Detailed'!$C$1:$CU$240,$F37,P$7):INDEX('Business Plan Detailed'!$C$1:$CU$240,$F37,Q$7))/12</f>
        <v>1</v>
      </c>
      <c r="Q37" s="185">
        <f>(SUM(INDEX('Business Plan Detailed'!$C$1:$CU$240,$F$37,P$7):INDEX('Business Plan Detailed'!$C$1:$CU$240,$F$37,Q$7)))*'Headcount Cost Assumptions'!$E16</f>
        <v>58500</v>
      </c>
      <c r="R37" s="228">
        <f>COUNT(INDEX('Business Plan Detailed'!$C$1:$CU$240,$F37,R$7):INDEX('Business Plan Detailed'!$C$1:$CU$240,$F37,S$7))/12</f>
        <v>1</v>
      </c>
      <c r="S37" s="185">
        <f>(SUM(INDEX('Business Plan Detailed'!$C$1:$CU$240,$F$37,R$7):INDEX('Business Plan Detailed'!$C$1:$CU$240,$F$37,S$7)))*'Headcount Cost Assumptions'!$E16</f>
        <v>142350</v>
      </c>
      <c r="T37" s="228">
        <f>COUNT(INDEX('Business Plan Detailed'!$C$1:$CU$240,$F37,T$7):INDEX('Business Plan Detailed'!$C$1:$CU$240,$F37,U$7))/12</f>
        <v>1</v>
      </c>
      <c r="U37" s="185">
        <f>(SUM(INDEX('Business Plan Detailed'!$C$1:$CU$240,$F$37,T$7):INDEX('Business Plan Detailed'!$C$1:$CU$240,$F$37,U$7)))*'Headcount Cost Assumptions'!$E16</f>
        <v>226200</v>
      </c>
      <c r="V37" s="228">
        <f>COUNT(INDEX('Business Plan Detailed'!$C$1:$CU$240,$F37,V$7):INDEX('Business Plan Detailed'!$C$1:$CU$240,$F37,W$7))/12</f>
        <v>1</v>
      </c>
      <c r="W37" s="185">
        <f>(SUM(INDEX('Business Plan Detailed'!$C$1:$CU$240,$F$37,V$7):INDEX('Business Plan Detailed'!$C$1:$CU$240,$F$37,W$7)))*'Headcount Cost Assumptions'!$E16</f>
        <v>300300</v>
      </c>
      <c r="X37" s="178"/>
    </row>
    <row r="38" spans="5:24" ht="15.75" customHeight="1" outlineLevel="1">
      <c r="E38" s="208"/>
      <c r="F38" s="212">
        <v>94</v>
      </c>
      <c r="G38" s="84" t="s">
        <v>34</v>
      </c>
      <c r="H38" s="228">
        <f>COUNT(INDEX('Business Plan Detailed'!$C$1:$CU$240,$F38,H$7):INDEX('Business Plan Detailed'!$C$1:$CU$240,$F38,I$7))/12</f>
        <v>0</v>
      </c>
      <c r="I38" s="185">
        <f>(SUM(INDEX('Business Plan Detailed'!$C$1:$CU$240,$F$38,H$7):INDEX('Business Plan Detailed'!$C$1:$CU$240,$F$38,I$7)))*'Headcount Cost Assumptions'!$E17</f>
        <v>0</v>
      </c>
      <c r="J38" s="228">
        <f>COUNT(INDEX('Business Plan Detailed'!$C$1:$CU$240,$F38,J$7):INDEX('Business Plan Detailed'!$C$1:$CU$240,$F38,K$7))/12</f>
        <v>0</v>
      </c>
      <c r="K38" s="185">
        <f>(SUM(INDEX('Business Plan Detailed'!$C$1:$CU$240,$F$38,J$7):INDEX('Business Plan Detailed'!$C$1:$CU$240,$F$38,K$7)))*'Headcount Cost Assumptions'!$E17</f>
        <v>0</v>
      </c>
      <c r="L38" s="228">
        <f>COUNT(INDEX('Business Plan Detailed'!$C$1:$CU$240,$F38,L$7):INDEX('Business Plan Detailed'!$C$1:$CU$240,$F38,M$7))/12</f>
        <v>0</v>
      </c>
      <c r="M38" s="185">
        <f>(SUM(INDEX('Business Plan Detailed'!$C$1:$CU$240,$F$38,L$7):INDEX('Business Plan Detailed'!$C$1:$CU$240,$F$38,M$7)))*'Headcount Cost Assumptions'!$E17</f>
        <v>0</v>
      </c>
      <c r="N38" s="228">
        <f>COUNT(INDEX('Business Plan Detailed'!$C$1:$CU$240,$F38,N$7):INDEX('Business Plan Detailed'!$C$1:$CU$240,$F38,O$7))/12</f>
        <v>1</v>
      </c>
      <c r="O38" s="185">
        <f>(SUM(INDEX('Business Plan Detailed'!$C$1:$CU$240,$F$38,N$7):INDEX('Business Plan Detailed'!$C$1:$CU$240,$F$38,O$7)))*'Headcount Cost Assumptions'!$E17</f>
        <v>18720</v>
      </c>
      <c r="P38" s="228">
        <f>COUNT(INDEX('Business Plan Detailed'!$C$1:$CU$240,$F38,P$7):INDEX('Business Plan Detailed'!$C$1:$CU$240,$F38,Q$7))/12</f>
        <v>1</v>
      </c>
      <c r="Q38" s="185">
        <f>(SUM(INDEX('Business Plan Detailed'!$C$1:$CU$240,$F$38,P$7):INDEX('Business Plan Detailed'!$C$1:$CU$240,$F$38,Q$7)))*'Headcount Cost Assumptions'!$E17</f>
        <v>18720</v>
      </c>
      <c r="R38" s="228">
        <f>COUNT(INDEX('Business Plan Detailed'!$C$1:$CU$240,$F38,R$7):INDEX('Business Plan Detailed'!$C$1:$CU$240,$F38,S$7))/12</f>
        <v>1</v>
      </c>
      <c r="S38" s="185">
        <f>(SUM(INDEX('Business Plan Detailed'!$C$1:$CU$240,$F$38,R$7):INDEX('Business Plan Detailed'!$C$1:$CU$240,$F$38,S$7)))*'Headcount Cost Assumptions'!$E17</f>
        <v>43680</v>
      </c>
      <c r="T38" s="228">
        <f>COUNT(INDEX('Business Plan Detailed'!$C$1:$CU$240,$F38,T$7):INDEX('Business Plan Detailed'!$C$1:$CU$240,$F38,U$7))/12</f>
        <v>1</v>
      </c>
      <c r="U38" s="185">
        <f>(SUM(INDEX('Business Plan Detailed'!$C$1:$CU$240,$F$38,T$7):INDEX('Business Plan Detailed'!$C$1:$CU$240,$F$38,U$7)))*'Headcount Cost Assumptions'!$E17</f>
        <v>71760</v>
      </c>
      <c r="V38" s="228">
        <f>COUNT(INDEX('Business Plan Detailed'!$C$1:$CU$240,$F38,V$7):INDEX('Business Plan Detailed'!$C$1:$CU$240,$F38,W$7))/12</f>
        <v>1</v>
      </c>
      <c r="W38" s="185">
        <f>(SUM(INDEX('Business Plan Detailed'!$C$1:$CU$240,$F$38,V$7):INDEX('Business Plan Detailed'!$C$1:$CU$240,$F$38,W$7)))*'Headcount Cost Assumptions'!$E17</f>
        <v>101400</v>
      </c>
      <c r="X38" s="178"/>
    </row>
    <row r="39" spans="5:24" ht="15.75" customHeight="1" outlineLevel="1">
      <c r="E39" s="208"/>
      <c r="F39" s="212">
        <v>95</v>
      </c>
      <c r="G39" s="84" t="s">
        <v>35</v>
      </c>
      <c r="H39" s="228">
        <f>COUNT(INDEX('Business Plan Detailed'!$C$1:$CU$240,$F39,H$7):INDEX('Business Plan Detailed'!$C$1:$CU$240,$F39,I$7))/12</f>
        <v>0</v>
      </c>
      <c r="I39" s="185">
        <f>(SUM(INDEX('Business Plan Detailed'!$C$1:$CU$240,$F$39,H$7):INDEX('Business Plan Detailed'!$C$1:$CU$240,$F$39,I$7)))*'Headcount Cost Assumptions'!$E18</f>
        <v>0</v>
      </c>
      <c r="J39" s="228">
        <f>COUNT(INDEX('Business Plan Detailed'!$C$1:$CU$240,$F39,J$7):INDEX('Business Plan Detailed'!$C$1:$CU$240,$F39,K$7))/12</f>
        <v>0</v>
      </c>
      <c r="K39" s="185">
        <f>(SUM(INDEX('Business Plan Detailed'!$C$1:$CU$240,$F$39,J$7):INDEX('Business Plan Detailed'!$C$1:$CU$240,$F$39,K$7)))*'Headcount Cost Assumptions'!$E18</f>
        <v>0</v>
      </c>
      <c r="L39" s="228">
        <f>COUNT(INDEX('Business Plan Detailed'!$C$1:$CU$240,$F39,L$7):INDEX('Business Plan Detailed'!$C$1:$CU$240,$F39,M$7))/12</f>
        <v>0</v>
      </c>
      <c r="M39" s="185">
        <f>(SUM(INDEX('Business Plan Detailed'!$C$1:$CU$240,$F$39,L$7):INDEX('Business Plan Detailed'!$C$1:$CU$240,$F$39,M$7)))*'Headcount Cost Assumptions'!$E18</f>
        <v>0</v>
      </c>
      <c r="N39" s="228">
        <f>COUNT(INDEX('Business Plan Detailed'!$C$1:$CU$240,$F39,N$7):INDEX('Business Plan Detailed'!$C$1:$CU$240,$F39,O$7))/12</f>
        <v>0.33333333333333331</v>
      </c>
      <c r="O39" s="185">
        <f>(SUM(INDEX('Business Plan Detailed'!$C$1:$CU$240,$F$39,N$7):INDEX('Business Plan Detailed'!$C$1:$CU$240,$F$39,O$7)))*'Headcount Cost Assumptions'!$E18</f>
        <v>6240</v>
      </c>
      <c r="P39" s="228">
        <f>COUNT(INDEX('Business Plan Detailed'!$C$1:$CU$240,$F39,P$7):INDEX('Business Plan Detailed'!$C$1:$CU$240,$F39,Q$7))/12</f>
        <v>1</v>
      </c>
      <c r="Q39" s="185">
        <f>(SUM(INDEX('Business Plan Detailed'!$C$1:$CU$240,$F$39,P$7):INDEX('Business Plan Detailed'!$C$1:$CU$240,$F$39,Q$7)))*'Headcount Cost Assumptions'!$E18</f>
        <v>18720</v>
      </c>
      <c r="R39" s="228">
        <f>COUNT(INDEX('Business Plan Detailed'!$C$1:$CU$240,$F39,R$7):INDEX('Business Plan Detailed'!$C$1:$CU$240,$F39,S$7))/12</f>
        <v>1</v>
      </c>
      <c r="S39" s="185">
        <f>(SUM(INDEX('Business Plan Detailed'!$C$1:$CU$240,$F$39,R$7):INDEX('Business Plan Detailed'!$C$1:$CU$240,$F$39,S$7)))*'Headcount Cost Assumptions'!$E18</f>
        <v>43680</v>
      </c>
      <c r="T39" s="228">
        <f>COUNT(INDEX('Business Plan Detailed'!$C$1:$CU$240,$F39,T$7):INDEX('Business Plan Detailed'!$C$1:$CU$240,$F39,U$7))/12</f>
        <v>1</v>
      </c>
      <c r="U39" s="185">
        <f>(SUM(INDEX('Business Plan Detailed'!$C$1:$CU$240,$F$39,T$7):INDEX('Business Plan Detailed'!$C$1:$CU$240,$F$39,U$7)))*'Headcount Cost Assumptions'!$E18</f>
        <v>71760</v>
      </c>
      <c r="V39" s="228">
        <f>COUNT(INDEX('Business Plan Detailed'!$C$1:$CU$240,$F39,V$7):INDEX('Business Plan Detailed'!$C$1:$CU$240,$F39,W$7))/12</f>
        <v>1</v>
      </c>
      <c r="W39" s="185">
        <f>(SUM(INDEX('Business Plan Detailed'!$C$1:$CU$240,$F$39,V$7):INDEX('Business Plan Detailed'!$C$1:$CU$240,$F$39,W$7)))*'Headcount Cost Assumptions'!$E18</f>
        <v>101400</v>
      </c>
      <c r="X39" s="178"/>
    </row>
    <row r="40" spans="5:24" ht="15.75" customHeight="1" outlineLevel="1">
      <c r="E40" s="208"/>
      <c r="F40" s="212">
        <v>96</v>
      </c>
      <c r="G40" s="84" t="s">
        <v>36</v>
      </c>
      <c r="H40" s="228">
        <f>COUNT(INDEX('Business Plan Detailed'!$C$1:$CU$240,$F40,H$7):INDEX('Business Plan Detailed'!$C$1:$CU$240,$F40,I$7))/12</f>
        <v>0</v>
      </c>
      <c r="I40" s="185">
        <f>(SUM(INDEX('Business Plan Detailed'!$C$1:$CU$240,$F$40,H$7):INDEX('Business Plan Detailed'!$C$1:$CU$240,$F$40,I$7)))*'Headcount Cost Assumptions'!$E19</f>
        <v>0</v>
      </c>
      <c r="J40" s="228">
        <f>COUNT(INDEX('Business Plan Detailed'!$C$1:$CU$240,$F40,J$7):INDEX('Business Plan Detailed'!$C$1:$CU$240,$F40,K$7))/12</f>
        <v>0</v>
      </c>
      <c r="K40" s="185">
        <f>(SUM(INDEX('Business Plan Detailed'!$C$1:$CU$240,$F$40,J$7):INDEX('Business Plan Detailed'!$C$1:$CU$240,$F$40,K$7)))*'Headcount Cost Assumptions'!$E19</f>
        <v>0</v>
      </c>
      <c r="L40" s="228">
        <f>COUNT(INDEX('Business Plan Detailed'!$C$1:$CU$240,$F40,L$7):INDEX('Business Plan Detailed'!$C$1:$CU$240,$F40,M$7))/12</f>
        <v>0</v>
      </c>
      <c r="M40" s="185">
        <f>(SUM(INDEX('Business Plan Detailed'!$C$1:$CU$240,$F$40,L$7):INDEX('Business Plan Detailed'!$C$1:$CU$240,$F$40,M$7)))*'Headcount Cost Assumptions'!$E19</f>
        <v>0</v>
      </c>
      <c r="N40" s="228">
        <f>COUNT(INDEX('Business Plan Detailed'!$C$1:$CU$240,$F40,N$7):INDEX('Business Plan Detailed'!$C$1:$CU$240,$F40,O$7))/12</f>
        <v>0.33333333333333331</v>
      </c>
      <c r="O40" s="185">
        <f>(SUM(INDEX('Business Plan Detailed'!$C$1:$CU$240,$F$40,N$7):INDEX('Business Plan Detailed'!$C$1:$CU$240,$F$40,O$7)))*'Headcount Cost Assumptions'!$E19</f>
        <v>6240</v>
      </c>
      <c r="P40" s="228">
        <f>COUNT(INDEX('Business Plan Detailed'!$C$1:$CU$240,$F40,P$7):INDEX('Business Plan Detailed'!$C$1:$CU$240,$F40,Q$7))/12</f>
        <v>1</v>
      </c>
      <c r="Q40" s="185">
        <f>(SUM(INDEX('Business Plan Detailed'!$C$1:$CU$240,$F$40,P$7):INDEX('Business Plan Detailed'!$C$1:$CU$240,$F$40,Q$7)))*'Headcount Cost Assumptions'!$E19</f>
        <v>18720</v>
      </c>
      <c r="R40" s="228">
        <f>COUNT(INDEX('Business Plan Detailed'!$C$1:$CU$240,$F40,R$7):INDEX('Business Plan Detailed'!$C$1:$CU$240,$F40,S$7))/12</f>
        <v>1</v>
      </c>
      <c r="S40" s="185">
        <f>(SUM(INDEX('Business Plan Detailed'!$C$1:$CU$240,$F$40,R$7):INDEX('Business Plan Detailed'!$C$1:$CU$240,$F$40,S$7)))*'Headcount Cost Assumptions'!$E19</f>
        <v>18720</v>
      </c>
      <c r="T40" s="228">
        <f>COUNT(INDEX('Business Plan Detailed'!$C$1:$CU$240,$F40,T$7):INDEX('Business Plan Detailed'!$C$1:$CU$240,$F40,U$7))/12</f>
        <v>1</v>
      </c>
      <c r="U40" s="185">
        <f>(SUM(INDEX('Business Plan Detailed'!$C$1:$CU$240,$F$40,T$7):INDEX('Business Plan Detailed'!$C$1:$CU$240,$F$40,U$7)))*'Headcount Cost Assumptions'!$E19</f>
        <v>18720</v>
      </c>
      <c r="V40" s="228">
        <f>COUNT(INDEX('Business Plan Detailed'!$C$1:$CU$240,$F40,V$7):INDEX('Business Plan Detailed'!$C$1:$CU$240,$F40,W$7))/12</f>
        <v>1</v>
      </c>
      <c r="W40" s="185">
        <f>(SUM(INDEX('Business Plan Detailed'!$C$1:$CU$240,$F$40,V$7):INDEX('Business Plan Detailed'!$C$1:$CU$240,$F$40,W$7)))*'Headcount Cost Assumptions'!$E19</f>
        <v>18720</v>
      </c>
    </row>
    <row r="41" spans="5:24" ht="15.75" customHeight="1" outlineLevel="1">
      <c r="E41" s="208"/>
      <c r="F41" s="212">
        <v>97</v>
      </c>
      <c r="G41" s="84" t="s">
        <v>37</v>
      </c>
      <c r="H41" s="228">
        <f>COUNT(INDEX('Business Plan Detailed'!$C$1:$CU$240,$F41,H$7):INDEX('Business Plan Detailed'!$C$1:$CU$240,$F41,I$7))/12</f>
        <v>0</v>
      </c>
      <c r="I41" s="185">
        <f>(SUM(INDEX('Business Plan Detailed'!$C$1:$CU$240,$F$41,H$7):INDEX('Business Plan Detailed'!$C$1:$CU$240,$F$41,I$7)))*'Headcount Cost Assumptions'!$E20</f>
        <v>0</v>
      </c>
      <c r="J41" s="228">
        <f>COUNT(INDEX('Business Plan Detailed'!$C$1:$CU$240,$F41,J$7):INDEX('Business Plan Detailed'!$C$1:$CU$240,$F41,K$7))/12</f>
        <v>0</v>
      </c>
      <c r="K41" s="185">
        <f>(SUM(INDEX('Business Plan Detailed'!$C$1:$CU$240,$F$41,J$7):INDEX('Business Plan Detailed'!$C$1:$CU$240,$F$41,K$7)))*'Headcount Cost Assumptions'!$E20</f>
        <v>0</v>
      </c>
      <c r="L41" s="228">
        <f>COUNT(INDEX('Business Plan Detailed'!$C$1:$CU$240,$F41,L$7):INDEX('Business Plan Detailed'!$C$1:$CU$240,$F41,M$7))/12</f>
        <v>0</v>
      </c>
      <c r="M41" s="185">
        <f>(SUM(INDEX('Business Plan Detailed'!$C$1:$CU$240,$F$41,L$7):INDEX('Business Plan Detailed'!$C$1:$CU$240,$F$41,M$7)))*'Headcount Cost Assumptions'!$E20</f>
        <v>0</v>
      </c>
      <c r="N41" s="228">
        <f>COUNT(INDEX('Business Plan Detailed'!$C$1:$CU$240,$F41,N$7):INDEX('Business Plan Detailed'!$C$1:$CU$240,$F41,O$7))/12</f>
        <v>0</v>
      </c>
      <c r="O41" s="185">
        <f>(SUM(INDEX('Business Plan Detailed'!$C$1:$CU$240,$F$41,N$7):INDEX('Business Plan Detailed'!$C$1:$CU$240,$F$41,O$7)))*'Headcount Cost Assumptions'!$E20</f>
        <v>0</v>
      </c>
      <c r="P41" s="228">
        <f>COUNT(INDEX('Business Plan Detailed'!$C$1:$CU$240,$F41,P$7):INDEX('Business Plan Detailed'!$C$1:$CU$240,$F41,Q$7))/12</f>
        <v>0.75</v>
      </c>
      <c r="Q41" s="185">
        <f>(SUM(INDEX('Business Plan Detailed'!$C$1:$CU$240,$F$41,P$7):INDEX('Business Plan Detailed'!$C$1:$CU$240,$F$41,Q$7)))*'Headcount Cost Assumptions'!$E20</f>
        <v>14040</v>
      </c>
      <c r="R41" s="228">
        <f>COUNT(INDEX('Business Plan Detailed'!$C$1:$CU$240,$F41,R$7):INDEX('Business Plan Detailed'!$C$1:$CU$240,$F41,S$7))/12</f>
        <v>1</v>
      </c>
      <c r="S41" s="185">
        <f>(SUM(INDEX('Business Plan Detailed'!$C$1:$CU$240,$F$41,R$7):INDEX('Business Plan Detailed'!$C$1:$CU$240,$F$41,S$7)))*'Headcount Cost Assumptions'!$E20</f>
        <v>18720</v>
      </c>
      <c r="T41" s="228">
        <f>COUNT(INDEX('Business Plan Detailed'!$C$1:$CU$240,$F41,T$7):INDEX('Business Plan Detailed'!$C$1:$CU$240,$F41,U$7))/12</f>
        <v>1</v>
      </c>
      <c r="U41" s="185">
        <f>(SUM(INDEX('Business Plan Detailed'!$C$1:$CU$240,$F$41,T$7):INDEX('Business Plan Detailed'!$C$1:$CU$240,$F$41,U$7)))*'Headcount Cost Assumptions'!$E20</f>
        <v>18720</v>
      </c>
      <c r="V41" s="228">
        <f>COUNT(INDEX('Business Plan Detailed'!$C$1:$CU$240,$F41,V$7):INDEX('Business Plan Detailed'!$C$1:$CU$240,$F41,W$7))/12</f>
        <v>1</v>
      </c>
      <c r="W41" s="185">
        <f>(SUM(INDEX('Business Plan Detailed'!$C$1:$CU$240,$F$41,V$7):INDEX('Business Plan Detailed'!$C$1:$CU$240,$F$41,W$7)))*'Headcount Cost Assumptions'!$E20</f>
        <v>18720</v>
      </c>
    </row>
    <row r="42" spans="5:24" ht="15.75" customHeight="1" outlineLevel="1">
      <c r="E42" s="208"/>
      <c r="F42" s="212">
        <v>98</v>
      </c>
      <c r="G42" s="84" t="s">
        <v>38</v>
      </c>
      <c r="H42" s="228">
        <f>COUNT(INDEX('Business Plan Detailed'!$C$1:$CU$240,$F42,H$7):INDEX('Business Plan Detailed'!$C$1:$CU$240,$F42,I$7))/12</f>
        <v>0</v>
      </c>
      <c r="I42" s="185">
        <f>(SUM(INDEX('Business Plan Detailed'!$C$1:$CU$240,$F$42,H$7):INDEX('Business Plan Detailed'!$C$1:$CU$240,$F$42,I$7)))*'Headcount Cost Assumptions'!$E21</f>
        <v>0</v>
      </c>
      <c r="J42" s="228">
        <f>COUNT(INDEX('Business Plan Detailed'!$C$1:$CU$240,$F42,J$7):INDEX('Business Plan Detailed'!$C$1:$CU$240,$F42,K$7))/12</f>
        <v>0</v>
      </c>
      <c r="K42" s="185">
        <f>(SUM(INDEX('Business Plan Detailed'!$C$1:$CU$240,$F$42,J$7):INDEX('Business Plan Detailed'!$C$1:$CU$240,$F$42,K$7)))*'Headcount Cost Assumptions'!$E21</f>
        <v>0</v>
      </c>
      <c r="L42" s="228">
        <f>COUNT(INDEX('Business Plan Detailed'!$C$1:$CU$240,$F42,L$7):INDEX('Business Plan Detailed'!$C$1:$CU$240,$F42,M$7))/12</f>
        <v>0</v>
      </c>
      <c r="M42" s="185">
        <f>(SUM(INDEX('Business Plan Detailed'!$C$1:$CU$240,$F$42,L$7):INDEX('Business Plan Detailed'!$C$1:$CU$240,$F$42,M$7)))*'Headcount Cost Assumptions'!$E21</f>
        <v>0</v>
      </c>
      <c r="N42" s="228">
        <f>COUNT(INDEX('Business Plan Detailed'!$C$1:$CU$240,$F42,N$7):INDEX('Business Plan Detailed'!$C$1:$CU$240,$F42,O$7))/12</f>
        <v>0</v>
      </c>
      <c r="O42" s="185">
        <f>(SUM(INDEX('Business Plan Detailed'!$C$1:$CU$240,$F$42,N$7):INDEX('Business Plan Detailed'!$C$1:$CU$240,$F$42,O$7)))*'Headcount Cost Assumptions'!$E21</f>
        <v>0</v>
      </c>
      <c r="P42" s="228">
        <f>COUNT(INDEX('Business Plan Detailed'!$C$1:$CU$240,$F42,P$7):INDEX('Business Plan Detailed'!$C$1:$CU$240,$F42,Q$7))/12</f>
        <v>0</v>
      </c>
      <c r="Q42" s="185">
        <f>(SUM(INDEX('Business Plan Detailed'!$C$1:$CU$240,$F$42,P$7):INDEX('Business Plan Detailed'!$C$1:$CU$240,$F$42,Q$7)))*'Headcount Cost Assumptions'!$E21</f>
        <v>0</v>
      </c>
      <c r="R42" s="228">
        <f>COUNT(INDEX('Business Plan Detailed'!$C$1:$CU$240,$F42,R$7):INDEX('Business Plan Detailed'!$C$1:$CU$240,$F42,S$7))/12</f>
        <v>1</v>
      </c>
      <c r="S42" s="185">
        <f>(SUM(INDEX('Business Plan Detailed'!$C$1:$CU$240,$F$42,R$7):INDEX('Business Plan Detailed'!$C$1:$CU$240,$F$42,S$7)))*'Headcount Cost Assumptions'!$E21</f>
        <v>18720</v>
      </c>
      <c r="T42" s="228">
        <f>COUNT(INDEX('Business Plan Detailed'!$C$1:$CU$240,$F42,T$7):INDEX('Business Plan Detailed'!$C$1:$CU$240,$F42,U$7))/12</f>
        <v>1</v>
      </c>
      <c r="U42" s="185">
        <f>(SUM(INDEX('Business Plan Detailed'!$C$1:$CU$240,$F$42,T$7):INDEX('Business Plan Detailed'!$C$1:$CU$240,$F$42,U$7)))*'Headcount Cost Assumptions'!$E21</f>
        <v>18720</v>
      </c>
      <c r="V42" s="228">
        <f>COUNT(INDEX('Business Plan Detailed'!$C$1:$CU$240,$F42,V$7):INDEX('Business Plan Detailed'!$C$1:$CU$240,$F42,W$7))/12</f>
        <v>1</v>
      </c>
      <c r="W42" s="185">
        <f>(SUM(INDEX('Business Plan Detailed'!$C$1:$CU$240,$F$42,V$7):INDEX('Business Plan Detailed'!$C$1:$CU$240,$F$42,W$7)))*'Headcount Cost Assumptions'!$E21</f>
        <v>18720</v>
      </c>
      <c r="X42" s="178"/>
    </row>
    <row r="43" spans="5:24" ht="15.75" customHeight="1" outlineLevel="1">
      <c r="E43" s="208"/>
      <c r="F43" s="212">
        <v>99</v>
      </c>
      <c r="G43" s="84" t="s">
        <v>39</v>
      </c>
      <c r="H43" s="228">
        <f>COUNT(INDEX('Business Plan Detailed'!$C$1:$CU$240,$F43,H$7):INDEX('Business Plan Detailed'!$C$1:$CU$240,$F43,I$7))/12</f>
        <v>0</v>
      </c>
      <c r="I43" s="185">
        <f>(SUM(INDEX('Business Plan Detailed'!$C$1:$CU$240,$F$43,H$7):INDEX('Business Plan Detailed'!$C$1:$CU$240,$F$43,I$7)))*'Headcount Cost Assumptions'!$E22</f>
        <v>0</v>
      </c>
      <c r="J43" s="228">
        <f>COUNT(INDEX('Business Plan Detailed'!$C$1:$CU$240,$F43,J$7):INDEX('Business Plan Detailed'!$C$1:$CU$240,$F43,K$7))/12</f>
        <v>0</v>
      </c>
      <c r="K43" s="185">
        <f>(SUM(INDEX('Business Plan Detailed'!$C$1:$CU$240,$F$43,J$7):INDEX('Business Plan Detailed'!$C$1:$CU$240,$F$43,K$7)))*'Headcount Cost Assumptions'!$E22</f>
        <v>0</v>
      </c>
      <c r="L43" s="228">
        <f>COUNT(INDEX('Business Plan Detailed'!$C$1:$CU$240,$F43,L$7):INDEX('Business Plan Detailed'!$C$1:$CU$240,$F43,M$7))/12</f>
        <v>0</v>
      </c>
      <c r="M43" s="185">
        <f>(SUM(INDEX('Business Plan Detailed'!$C$1:$CU$240,$F$43,L$7):INDEX('Business Plan Detailed'!$C$1:$CU$240,$F$43,M$7)))*'Headcount Cost Assumptions'!$E22</f>
        <v>0</v>
      </c>
      <c r="N43" s="228">
        <f>COUNT(INDEX('Business Plan Detailed'!$C$1:$CU$240,$F43,N$7):INDEX('Business Plan Detailed'!$C$1:$CU$240,$F43,O$7))/12</f>
        <v>0</v>
      </c>
      <c r="O43" s="185">
        <f>(SUM(INDEX('Business Plan Detailed'!$C$1:$CU$240,$F$43,N$7):INDEX('Business Plan Detailed'!$C$1:$CU$240,$F$43,O$7)))*'Headcount Cost Assumptions'!$E22</f>
        <v>0</v>
      </c>
      <c r="P43" s="228">
        <f>COUNT(INDEX('Business Plan Detailed'!$C$1:$CU$240,$F43,P$7):INDEX('Business Plan Detailed'!$C$1:$CU$240,$F43,Q$7))/12</f>
        <v>0</v>
      </c>
      <c r="Q43" s="185">
        <f>(SUM(INDEX('Business Plan Detailed'!$C$1:$CU$240,$F$43,P$7):INDEX('Business Plan Detailed'!$C$1:$CU$240,$F$43,Q$7)))*'Headcount Cost Assumptions'!$E22</f>
        <v>0</v>
      </c>
      <c r="R43" s="228">
        <f>COUNT(INDEX('Business Plan Detailed'!$C$1:$CU$240,$F43,R$7):INDEX('Business Plan Detailed'!$C$1:$CU$240,$F43,S$7))/12</f>
        <v>1</v>
      </c>
      <c r="S43" s="185">
        <f>(SUM(INDEX('Business Plan Detailed'!$C$1:$CU$240,$F$43,R$7):INDEX('Business Plan Detailed'!$C$1:$CU$240,$F$43,S$7)))*'Headcount Cost Assumptions'!$E22</f>
        <v>18720</v>
      </c>
      <c r="T43" s="228">
        <f>COUNT(INDEX('Business Plan Detailed'!$C$1:$CU$240,$F43,T$7):INDEX('Business Plan Detailed'!$C$1:$CU$240,$F43,U$7))/12</f>
        <v>1</v>
      </c>
      <c r="U43" s="185">
        <f>(SUM(INDEX('Business Plan Detailed'!$C$1:$CU$240,$F$43,T$7):INDEX('Business Plan Detailed'!$C$1:$CU$240,$F$43,U$7)))*'Headcount Cost Assumptions'!$E22</f>
        <v>18720</v>
      </c>
      <c r="V43" s="228">
        <f>COUNT(INDEX('Business Plan Detailed'!$C$1:$CU$240,$F43,V$7):INDEX('Business Plan Detailed'!$C$1:$CU$240,$F43,W$7))/12</f>
        <v>1</v>
      </c>
      <c r="W43" s="185">
        <f>(SUM(INDEX('Business Plan Detailed'!$C$1:$CU$240,$F$43,V$7):INDEX('Business Plan Detailed'!$C$1:$CU$240,$F$43,W$7)))*'Headcount Cost Assumptions'!$E22</f>
        <v>18720</v>
      </c>
      <c r="X43" s="178"/>
    </row>
    <row r="44" spans="5:24" ht="15.75" customHeight="1" outlineLevel="1">
      <c r="E44" s="208"/>
      <c r="F44" s="212">
        <v>100</v>
      </c>
      <c r="G44" s="84" t="s">
        <v>40</v>
      </c>
      <c r="H44" s="228">
        <f>COUNT(INDEX('Business Plan Detailed'!$C$1:$CU$240,$F44,H$7):INDEX('Business Plan Detailed'!$C$1:$CU$240,$F44,I$7))/12</f>
        <v>0</v>
      </c>
      <c r="I44" s="185">
        <f>(SUM(INDEX('Business Plan Detailed'!$C$1:$CU$240,$F$44,H$7):INDEX('Business Plan Detailed'!$C$1:$CU$240,$F$44,I$7)))*'Headcount Cost Assumptions'!$E23</f>
        <v>0</v>
      </c>
      <c r="J44" s="228">
        <f>COUNT(INDEX('Business Plan Detailed'!$C$1:$CU$240,$F44,J$7):INDEX('Business Plan Detailed'!$C$1:$CU$240,$F44,K$7))/12</f>
        <v>0</v>
      </c>
      <c r="K44" s="185">
        <f>(SUM(INDEX('Business Plan Detailed'!$C$1:$CU$240,$F$44,J$7):INDEX('Business Plan Detailed'!$C$1:$CU$240,$F$44,K$7)))*'Headcount Cost Assumptions'!$E23</f>
        <v>0</v>
      </c>
      <c r="L44" s="228">
        <f>COUNT(INDEX('Business Plan Detailed'!$C$1:$CU$240,$F44,L$7):INDEX('Business Plan Detailed'!$C$1:$CU$240,$F44,M$7))/12</f>
        <v>0</v>
      </c>
      <c r="M44" s="185">
        <f>(SUM(INDEX('Business Plan Detailed'!$C$1:$CU$240,$F$44,L$7):INDEX('Business Plan Detailed'!$C$1:$CU$240,$F$44,M$7)))*'Headcount Cost Assumptions'!$E23</f>
        <v>0</v>
      </c>
      <c r="N44" s="228">
        <f>COUNT(INDEX('Business Plan Detailed'!$C$1:$CU$240,$F44,N$7):INDEX('Business Plan Detailed'!$C$1:$CU$240,$F44,O$7))/12</f>
        <v>0</v>
      </c>
      <c r="O44" s="185">
        <f>(SUM(INDEX('Business Plan Detailed'!$C$1:$CU$240,$F$44,N$7):INDEX('Business Plan Detailed'!$C$1:$CU$240,$F$44,O$7)))*'Headcount Cost Assumptions'!$E23</f>
        <v>0</v>
      </c>
      <c r="P44" s="228">
        <f>COUNT(INDEX('Business Plan Detailed'!$C$1:$CU$240,$F44,P$7):INDEX('Business Plan Detailed'!$C$1:$CU$240,$F44,Q$7))/12</f>
        <v>0</v>
      </c>
      <c r="Q44" s="185">
        <f>(SUM(INDEX('Business Plan Detailed'!$C$1:$CU$240,$F$44,P$7):INDEX('Business Plan Detailed'!$C$1:$CU$240,$F$44,Q$7)))*'Headcount Cost Assumptions'!$E23</f>
        <v>0</v>
      </c>
      <c r="R44" s="228">
        <f>COUNT(INDEX('Business Plan Detailed'!$C$1:$CU$240,$F44,R$7):INDEX('Business Plan Detailed'!$C$1:$CU$240,$F44,S$7))/12</f>
        <v>1</v>
      </c>
      <c r="S44" s="185">
        <f>(SUM(INDEX('Business Plan Detailed'!$C$1:$CU$240,$F$44,R$7):INDEX('Business Plan Detailed'!$C$1:$CU$240,$F$44,S$7)))*'Headcount Cost Assumptions'!$E23</f>
        <v>66300</v>
      </c>
      <c r="T44" s="228">
        <f>COUNT(INDEX('Business Plan Detailed'!$C$1:$CU$240,$F44,T$7):INDEX('Business Plan Detailed'!$C$1:$CU$240,$F44,U$7))/12</f>
        <v>1</v>
      </c>
      <c r="U44" s="185">
        <f>(SUM(INDEX('Business Plan Detailed'!$C$1:$CU$240,$F$44,T$7):INDEX('Business Plan Detailed'!$C$1:$CU$240,$F$44,U$7)))*'Headcount Cost Assumptions'!$E23</f>
        <v>132600</v>
      </c>
      <c r="V44" s="228">
        <f>COUNT(INDEX('Business Plan Detailed'!$C$1:$CU$240,$F44,V$7):INDEX('Business Plan Detailed'!$C$1:$CU$240,$F44,W$7))/12</f>
        <v>1</v>
      </c>
      <c r="W44" s="185">
        <f>(SUM(INDEX('Business Plan Detailed'!$C$1:$CU$240,$F$44,V$7):INDEX('Business Plan Detailed'!$C$1:$CU$240,$F$44,W$7)))*'Headcount Cost Assumptions'!$E23</f>
        <v>206700</v>
      </c>
      <c r="X44" s="178"/>
    </row>
    <row r="45" spans="5:24" ht="15.75" customHeight="1" outlineLevel="1">
      <c r="E45" s="208"/>
      <c r="F45" s="212">
        <v>101</v>
      </c>
      <c r="G45" s="84" t="s">
        <v>41</v>
      </c>
      <c r="H45" s="228">
        <f>COUNT(INDEX('Business Plan Detailed'!$C$1:$CU$240,$F45,H$7):INDEX('Business Plan Detailed'!$C$1:$CU$240,$F45,I$7))/12</f>
        <v>0</v>
      </c>
      <c r="I45" s="185">
        <f>(SUM(INDEX('Business Plan Detailed'!$C$1:$CU$240,$F$45,H$7):INDEX('Business Plan Detailed'!$C$1:$CU$240,$F$45,I$7)))*'Headcount Cost Assumptions'!$E24</f>
        <v>0</v>
      </c>
      <c r="J45" s="228">
        <f>COUNT(INDEX('Business Plan Detailed'!$C$1:$CU$240,$F45,J$7):INDEX('Business Plan Detailed'!$C$1:$CU$240,$F45,K$7))/12</f>
        <v>0</v>
      </c>
      <c r="K45" s="185">
        <f>(SUM(INDEX('Business Plan Detailed'!$C$1:$CU$240,$F$45,J$7):INDEX('Business Plan Detailed'!$C$1:$CU$240,$F$45,K$7)))*'Headcount Cost Assumptions'!$E24</f>
        <v>0</v>
      </c>
      <c r="L45" s="228">
        <f>COUNT(INDEX('Business Plan Detailed'!$C$1:$CU$240,$F45,L$7):INDEX('Business Plan Detailed'!$C$1:$CU$240,$F45,M$7))/12</f>
        <v>0</v>
      </c>
      <c r="M45" s="185">
        <f>(SUM(INDEX('Business Plan Detailed'!$C$1:$CU$240,$F$45,L$7):INDEX('Business Plan Detailed'!$C$1:$CU$240,$F$45,M$7)))*'Headcount Cost Assumptions'!$E24</f>
        <v>0</v>
      </c>
      <c r="N45" s="228">
        <f>COUNT(INDEX('Business Plan Detailed'!$C$1:$CU$240,$F45,N$7):INDEX('Business Plan Detailed'!$C$1:$CU$240,$F45,O$7))/12</f>
        <v>0</v>
      </c>
      <c r="O45" s="185">
        <f>(SUM(INDEX('Business Plan Detailed'!$C$1:$CU$240,$F$45,N$7):INDEX('Business Plan Detailed'!$C$1:$CU$240,$F$45,O$7)))*'Headcount Cost Assumptions'!$E24</f>
        <v>0</v>
      </c>
      <c r="P45" s="228">
        <f>COUNT(INDEX('Business Plan Detailed'!$C$1:$CU$240,$F45,P$7):INDEX('Business Plan Detailed'!$C$1:$CU$240,$F45,Q$7))/12</f>
        <v>0.75</v>
      </c>
      <c r="Q45" s="185">
        <f>(SUM(INDEX('Business Plan Detailed'!$C$1:$CU$240,$F$45,P$7):INDEX('Business Plan Detailed'!$C$1:$CU$240,$F$45,Q$7)))*'Headcount Cost Assumptions'!$E24</f>
        <v>52650</v>
      </c>
      <c r="R45" s="228">
        <f>COUNT(INDEX('Business Plan Detailed'!$C$1:$CU$240,$F45,R$7):INDEX('Business Plan Detailed'!$C$1:$CU$240,$F45,S$7))/12</f>
        <v>1</v>
      </c>
      <c r="S45" s="185">
        <f>(SUM(INDEX('Business Plan Detailed'!$C$1:$CU$240,$F$45,R$7):INDEX('Business Plan Detailed'!$C$1:$CU$240,$F$45,S$7)))*'Headcount Cost Assumptions'!$E24</f>
        <v>70200</v>
      </c>
      <c r="T45" s="228">
        <f>COUNT(INDEX('Business Plan Detailed'!$C$1:$CU$240,$F45,T$7):INDEX('Business Plan Detailed'!$C$1:$CU$240,$F45,U$7))/12</f>
        <v>1</v>
      </c>
      <c r="U45" s="185">
        <f>(SUM(INDEX('Business Plan Detailed'!$C$1:$CU$240,$F$45,T$7):INDEX('Business Plan Detailed'!$C$1:$CU$240,$F$45,U$7)))*'Headcount Cost Assumptions'!$E24</f>
        <v>70200</v>
      </c>
      <c r="V45" s="228">
        <f>COUNT(INDEX('Business Plan Detailed'!$C$1:$CU$240,$F45,V$7):INDEX('Business Plan Detailed'!$C$1:$CU$240,$F45,W$7))/12</f>
        <v>1</v>
      </c>
      <c r="W45" s="185">
        <f>(SUM(INDEX('Business Plan Detailed'!$C$1:$CU$240,$F$45,V$7):INDEX('Business Plan Detailed'!$C$1:$CU$240,$F$45,W$7)))*'Headcount Cost Assumptions'!$E24</f>
        <v>70200</v>
      </c>
    </row>
    <row r="46" spans="5:24" ht="15.75" customHeight="1" outlineLevel="1">
      <c r="E46" s="208"/>
      <c r="F46" s="212">
        <v>102</v>
      </c>
      <c r="G46" s="84" t="s">
        <v>42</v>
      </c>
      <c r="H46" s="228">
        <f>COUNT(INDEX('Business Plan Detailed'!$C$1:$CU$240,$F46,H$7):INDEX('Business Plan Detailed'!$C$1:$CU$240,$F46,I$7))/12</f>
        <v>0</v>
      </c>
      <c r="I46" s="185">
        <f>(SUM(INDEX('Business Plan Detailed'!$C$1:$CU$240,$F$46,H$7):INDEX('Business Plan Detailed'!$C$1:$CU$240,$F$46,I$7)))*'Headcount Cost Assumptions'!$E25</f>
        <v>0</v>
      </c>
      <c r="J46" s="228">
        <f>COUNT(INDEX('Business Plan Detailed'!$C$1:$CU$240,$F46,J$7):INDEX('Business Plan Detailed'!$C$1:$CU$240,$F46,K$7))/12</f>
        <v>0</v>
      </c>
      <c r="K46" s="185">
        <f>(SUM(INDEX('Business Plan Detailed'!$C$1:$CU$240,$F$46,J$7):INDEX('Business Plan Detailed'!$C$1:$CU$240,$F$46,K$7)))*'Headcount Cost Assumptions'!$E25</f>
        <v>0</v>
      </c>
      <c r="L46" s="228">
        <f>COUNT(INDEX('Business Plan Detailed'!$C$1:$CU$240,$F46,L$7):INDEX('Business Plan Detailed'!$C$1:$CU$240,$F46,M$7))/12</f>
        <v>0</v>
      </c>
      <c r="M46" s="185">
        <f>(SUM(INDEX('Business Plan Detailed'!$C$1:$CU$240,$F$46,L$7):INDEX('Business Plan Detailed'!$C$1:$CU$240,$F$46,M$7)))*'Headcount Cost Assumptions'!$E25</f>
        <v>0</v>
      </c>
      <c r="N46" s="228">
        <f>COUNT(INDEX('Business Plan Detailed'!$C$1:$CU$240,$F46,N$7):INDEX('Business Plan Detailed'!$C$1:$CU$240,$F46,O$7))/12</f>
        <v>0</v>
      </c>
      <c r="O46" s="185">
        <f>(SUM(INDEX('Business Plan Detailed'!$C$1:$CU$240,$F$46,N$7):INDEX('Business Plan Detailed'!$C$1:$CU$240,$F$46,O$7)))*'Headcount Cost Assumptions'!$E25</f>
        <v>0</v>
      </c>
      <c r="P46" s="228">
        <f>COUNT(INDEX('Business Plan Detailed'!$C$1:$CU$240,$F46,P$7):INDEX('Business Plan Detailed'!$C$1:$CU$240,$F46,Q$7))/12</f>
        <v>0</v>
      </c>
      <c r="Q46" s="185">
        <f>(SUM(INDEX('Business Plan Detailed'!$C$1:$CU$240,$F$46,P$7):INDEX('Business Plan Detailed'!$C$1:$CU$240,$F$46,Q$7)))*'Headcount Cost Assumptions'!$E25</f>
        <v>0</v>
      </c>
      <c r="R46" s="228">
        <f>COUNT(INDEX('Business Plan Detailed'!$C$1:$CU$240,$F46,R$7):INDEX('Business Plan Detailed'!$C$1:$CU$240,$F46,S$7))/12</f>
        <v>1</v>
      </c>
      <c r="S46" s="185">
        <f>(SUM(INDEX('Business Plan Detailed'!$C$1:$CU$240,$F$46,R$7):INDEX('Business Plan Detailed'!$C$1:$CU$240,$F$46,S$7)))*'Headcount Cost Assumptions'!$E25</f>
        <v>70200</v>
      </c>
      <c r="T46" s="228">
        <f>COUNT(INDEX('Business Plan Detailed'!$C$1:$CU$240,$F46,T$7):INDEX('Business Plan Detailed'!$C$1:$CU$240,$F46,U$7))/12</f>
        <v>1</v>
      </c>
      <c r="U46" s="185">
        <f>(SUM(INDEX('Business Plan Detailed'!$C$1:$CU$240,$F$46,T$7):INDEX('Business Plan Detailed'!$C$1:$CU$240,$F$46,U$7)))*'Headcount Cost Assumptions'!$E25</f>
        <v>70200</v>
      </c>
      <c r="V46" s="228">
        <f>COUNT(INDEX('Business Plan Detailed'!$C$1:$CU$240,$F46,V$7):INDEX('Business Plan Detailed'!$C$1:$CU$240,$F46,W$7))/12</f>
        <v>1</v>
      </c>
      <c r="W46" s="185">
        <f>(SUM(INDEX('Business Plan Detailed'!$C$1:$CU$240,$F$46,V$7):INDEX('Business Plan Detailed'!$C$1:$CU$240,$F$46,W$7)))*'Headcount Cost Assumptions'!$E25</f>
        <v>70200</v>
      </c>
    </row>
    <row r="47" spans="5:24" ht="15.75" customHeight="1" outlineLevel="1">
      <c r="E47" s="208"/>
      <c r="F47" s="212">
        <v>103</v>
      </c>
      <c r="G47" s="84" t="s">
        <v>29</v>
      </c>
      <c r="H47" s="228">
        <f>COUNT(INDEX('Business Plan Detailed'!$C$1:$CU$240,$F47,H$7):INDEX('Business Plan Detailed'!$C$1:$CU$240,$F47,I$7))/12</f>
        <v>0</v>
      </c>
      <c r="I47" s="185">
        <f>(SUM(INDEX('Business Plan Detailed'!$C$1:$CU$240,$F$47,H$7):INDEX('Business Plan Detailed'!$C$1:$CU$240,$F$47,I$7)))*'Headcount Cost Assumptions'!$E26</f>
        <v>0</v>
      </c>
      <c r="J47" s="228">
        <f>COUNT(INDEX('Business Plan Detailed'!$C$1:$CU$240,$F47,J$7):INDEX('Business Plan Detailed'!$C$1:$CU$240,$F47,K$7))/12</f>
        <v>0</v>
      </c>
      <c r="K47" s="185">
        <f>(SUM(INDEX('Business Plan Detailed'!$C$1:$CU$240,$F$47,J$7):INDEX('Business Plan Detailed'!$C$1:$CU$240,$F$47,K$7)))*'Headcount Cost Assumptions'!$E26</f>
        <v>0</v>
      </c>
      <c r="L47" s="228">
        <f>COUNT(INDEX('Business Plan Detailed'!$C$1:$CU$240,$F47,L$7):INDEX('Business Plan Detailed'!$C$1:$CU$240,$F47,M$7))/12</f>
        <v>0</v>
      </c>
      <c r="M47" s="185">
        <f>(SUM(INDEX('Business Plan Detailed'!$C$1:$CU$240,$F$47,L$7):INDEX('Business Plan Detailed'!$C$1:$CU$240,$F$47,M$7)))*'Headcount Cost Assumptions'!$E26</f>
        <v>0</v>
      </c>
      <c r="N47" s="228">
        <f>COUNT(INDEX('Business Plan Detailed'!$C$1:$CU$240,$F47,N$7):INDEX('Business Plan Detailed'!$C$1:$CU$240,$F47,O$7))/12</f>
        <v>0.16666666666666666</v>
      </c>
      <c r="O47" s="185">
        <f>(SUM(INDEX('Business Plan Detailed'!$C$1:$CU$240,$F$47,N$7):INDEX('Business Plan Detailed'!$C$1:$CU$240,$F$47,O$7)))*'Headcount Cost Assumptions'!$E26</f>
        <v>3900</v>
      </c>
      <c r="P47" s="228">
        <f>COUNT(INDEX('Business Plan Detailed'!$C$1:$CU$240,$F47,P$7):INDEX('Business Plan Detailed'!$C$1:$CU$240,$F47,Q$7))/12</f>
        <v>1</v>
      </c>
      <c r="Q47" s="185">
        <f>(SUM(INDEX('Business Plan Detailed'!$C$1:$CU$240,$F$47,P$7):INDEX('Business Plan Detailed'!$C$1:$CU$240,$F$47,Q$7)))*'Headcount Cost Assumptions'!$E26</f>
        <v>40950</v>
      </c>
      <c r="R47" s="228">
        <f>COUNT(INDEX('Business Plan Detailed'!$C$1:$CU$240,$F47,R$7):INDEX('Business Plan Detailed'!$C$1:$CU$240,$F47,S$7))/12</f>
        <v>1</v>
      </c>
      <c r="S47" s="185">
        <f>(SUM(INDEX('Business Plan Detailed'!$C$1:$CU$240,$F$47,R$7):INDEX('Business Plan Detailed'!$C$1:$CU$240,$F$47,S$7)))*'Headcount Cost Assumptions'!$E26</f>
        <v>46800</v>
      </c>
      <c r="T47" s="228">
        <f>COUNT(INDEX('Business Plan Detailed'!$C$1:$CU$240,$F47,T$7):INDEX('Business Plan Detailed'!$C$1:$CU$240,$F47,U$7))/12</f>
        <v>1</v>
      </c>
      <c r="U47" s="185">
        <f>(SUM(INDEX('Business Plan Detailed'!$C$1:$CU$240,$F$47,T$7):INDEX('Business Plan Detailed'!$C$1:$CU$240,$F$47,U$7)))*'Headcount Cost Assumptions'!$E26</f>
        <v>46800</v>
      </c>
      <c r="V47" s="228">
        <f>COUNT(INDEX('Business Plan Detailed'!$C$1:$CU$240,$F47,V$7):INDEX('Business Plan Detailed'!$C$1:$CU$240,$F47,W$7))/12</f>
        <v>1</v>
      </c>
      <c r="W47" s="185">
        <f>(SUM(INDEX('Business Plan Detailed'!$C$1:$CU$240,$F$47,V$7):INDEX('Business Plan Detailed'!$C$1:$CU$240,$F$47,W$7)))*'Headcount Cost Assumptions'!$E26</f>
        <v>46800</v>
      </c>
    </row>
    <row r="48" spans="5:24" ht="15.75" customHeight="1" outlineLevel="1">
      <c r="E48" s="208"/>
      <c r="F48" s="212">
        <v>104</v>
      </c>
      <c r="G48" s="84" t="s">
        <v>384</v>
      </c>
      <c r="H48" s="228">
        <f>COUNT(INDEX('Business Plan Detailed'!$C$1:$CU$240,$F48,H$7):INDEX('Business Plan Detailed'!$C$1:$CU$240,$F48,I$7))/12</f>
        <v>0</v>
      </c>
      <c r="I48" s="185">
        <f>(SUM(INDEX('Business Plan Detailed'!$C$1:$CU$240,$F$48,H$7):INDEX('Business Plan Detailed'!$C$1:$CU$240,$F$48,I$7)))*'Headcount Cost Assumptions'!$E27</f>
        <v>0</v>
      </c>
      <c r="J48" s="228">
        <f>COUNT(INDEX('Business Plan Detailed'!$C$1:$CU$240,$F48,J$7):INDEX('Business Plan Detailed'!$C$1:$CU$240,$F48,K$7))/12</f>
        <v>0</v>
      </c>
      <c r="K48" s="185">
        <f>(SUM(INDEX('Business Plan Detailed'!$C$1:$CU$240,$F$48,J$7):INDEX('Business Plan Detailed'!$C$1:$CU$240,$F$48,K$7)))*'Headcount Cost Assumptions'!$E27</f>
        <v>0</v>
      </c>
      <c r="L48" s="228">
        <f>COUNT(INDEX('Business Plan Detailed'!$C$1:$CU$240,$F48,L$7):INDEX('Business Plan Detailed'!$C$1:$CU$240,$F48,M$7))/12</f>
        <v>0</v>
      </c>
      <c r="M48" s="185">
        <f>(SUM(INDEX('Business Plan Detailed'!$C$1:$CU$240,$F$48,L$7):INDEX('Business Plan Detailed'!$C$1:$CU$240,$F$48,M$7)))*'Headcount Cost Assumptions'!$E27</f>
        <v>0</v>
      </c>
      <c r="N48" s="228">
        <f>COUNT(INDEX('Business Plan Detailed'!$C$1:$CU$240,$F48,N$7):INDEX('Business Plan Detailed'!$C$1:$CU$240,$F48,O$7))/12</f>
        <v>0</v>
      </c>
      <c r="O48" s="185">
        <f>(SUM(INDEX('Business Plan Detailed'!$C$1:$CU$240,$F$48,N$7):INDEX('Business Plan Detailed'!$C$1:$CU$240,$F$48,O$7)))*'Headcount Cost Assumptions'!$E27</f>
        <v>0</v>
      </c>
      <c r="P48" s="228">
        <f>COUNT(INDEX('Business Plan Detailed'!$C$1:$CU$240,$F48,P$7):INDEX('Business Plan Detailed'!$C$1:$CU$240,$F48,Q$7))/12</f>
        <v>0.75</v>
      </c>
      <c r="Q48" s="185">
        <f>(SUM(INDEX('Business Plan Detailed'!$C$1:$CU$240,$F$48,P$7):INDEX('Business Plan Detailed'!$C$1:$CU$240,$F$48,Q$7)))*'Headcount Cost Assumptions'!$E27</f>
        <v>35100</v>
      </c>
      <c r="R48" s="228">
        <f>COUNT(INDEX('Business Plan Detailed'!$C$1:$CU$240,$F48,R$7):INDEX('Business Plan Detailed'!$C$1:$CU$240,$F48,S$7))/12</f>
        <v>1</v>
      </c>
      <c r="S48" s="185">
        <f>(SUM(INDEX('Business Plan Detailed'!$C$1:$CU$240,$F$48,R$7):INDEX('Business Plan Detailed'!$C$1:$CU$240,$F$48,S$7)))*'Headcount Cost Assumptions'!$E27</f>
        <v>46800</v>
      </c>
      <c r="T48" s="228">
        <f>COUNT(INDEX('Business Plan Detailed'!$C$1:$CU$240,$F48,T$7):INDEX('Business Plan Detailed'!$C$1:$CU$240,$F48,U$7))/12</f>
        <v>1</v>
      </c>
      <c r="U48" s="185">
        <f>(SUM(INDEX('Business Plan Detailed'!$C$1:$CU$240,$F$48,T$7):INDEX('Business Plan Detailed'!$C$1:$CU$240,$F$48,U$7)))*'Headcount Cost Assumptions'!$E27</f>
        <v>46800</v>
      </c>
      <c r="V48" s="228">
        <f>COUNT(INDEX('Business Plan Detailed'!$C$1:$CU$240,$F48,V$7):INDEX('Business Plan Detailed'!$C$1:$CU$240,$F48,W$7))/12</f>
        <v>1</v>
      </c>
      <c r="W48" s="185">
        <f>(SUM(INDEX('Business Plan Detailed'!$C$1:$CU$240,$F$48,V$7):INDEX('Business Plan Detailed'!$C$1:$CU$240,$F$48,W$7)))*'Headcount Cost Assumptions'!$E27</f>
        <v>46800</v>
      </c>
    </row>
    <row r="49" spans="1:23" ht="15.75" customHeight="1" outlineLevel="1">
      <c r="E49" s="208"/>
      <c r="F49" s="212">
        <v>105</v>
      </c>
      <c r="G49" s="84" t="s">
        <v>385</v>
      </c>
      <c r="H49" s="228">
        <f>COUNT(INDEX('Business Plan Detailed'!$C$1:$CU$240,$F49,H$7):INDEX('Business Plan Detailed'!$C$1:$CU$240,$F49,I$7))/12</f>
        <v>0</v>
      </c>
      <c r="I49" s="185">
        <f>(SUM(INDEX('Business Plan Detailed'!$C$1:$CU$240,$F$49,H$7):INDEX('Business Plan Detailed'!$C$1:$CU$240,$F$49,I$7)))*'Headcount Cost Assumptions'!$E28</f>
        <v>0</v>
      </c>
      <c r="J49" s="228">
        <f>COUNT(INDEX('Business Plan Detailed'!$C$1:$CU$240,$F49,J$7):INDEX('Business Plan Detailed'!$C$1:$CU$240,$F49,K$7))/12</f>
        <v>0</v>
      </c>
      <c r="K49" s="185">
        <f>(SUM(INDEX('Business Plan Detailed'!$C$1:$CU$240,$F$49,J$7):INDEX('Business Plan Detailed'!$C$1:$CU$240,$F$49,K$7)))*'Headcount Cost Assumptions'!$E28</f>
        <v>0</v>
      </c>
      <c r="L49" s="228">
        <f>COUNT(INDEX('Business Plan Detailed'!$C$1:$CU$240,$F49,L$7):INDEX('Business Plan Detailed'!$C$1:$CU$240,$F49,M$7))/12</f>
        <v>0</v>
      </c>
      <c r="M49" s="185">
        <f>(SUM(INDEX('Business Plan Detailed'!$C$1:$CU$240,$F$49,L$7):INDEX('Business Plan Detailed'!$C$1:$CU$240,$F$49,M$7)))*'Headcount Cost Assumptions'!$E28</f>
        <v>0</v>
      </c>
      <c r="N49" s="228">
        <f>COUNT(INDEX('Business Plan Detailed'!$C$1:$CU$240,$F49,N$7):INDEX('Business Plan Detailed'!$C$1:$CU$240,$F49,O$7))/12</f>
        <v>0</v>
      </c>
      <c r="O49" s="185">
        <f>(SUM(INDEX('Business Plan Detailed'!$C$1:$CU$240,$F$49,N$7):INDEX('Business Plan Detailed'!$C$1:$CU$240,$F$49,O$7)))*'Headcount Cost Assumptions'!$E28</f>
        <v>0</v>
      </c>
      <c r="P49" s="228">
        <f>COUNT(INDEX('Business Plan Detailed'!$C$1:$CU$240,$F49,P$7):INDEX('Business Plan Detailed'!$C$1:$CU$240,$F49,Q$7))/12</f>
        <v>0.75</v>
      </c>
      <c r="Q49" s="185">
        <f>(SUM(INDEX('Business Plan Detailed'!$C$1:$CU$240,$F$49,P$7):INDEX('Business Plan Detailed'!$C$1:$CU$240,$F$49,Q$7)))*'Headcount Cost Assumptions'!$E28</f>
        <v>14040</v>
      </c>
      <c r="R49" s="228">
        <f>COUNT(INDEX('Business Plan Detailed'!$C$1:$CU$240,$F49,R$7):INDEX('Business Plan Detailed'!$C$1:$CU$240,$F49,S$7))/12</f>
        <v>1</v>
      </c>
      <c r="S49" s="185">
        <f>(SUM(INDEX('Business Plan Detailed'!$C$1:$CU$240,$F$49,R$7):INDEX('Business Plan Detailed'!$C$1:$CU$240,$F$49,S$7)))*'Headcount Cost Assumptions'!$E28</f>
        <v>18720</v>
      </c>
      <c r="T49" s="228">
        <f>COUNT(INDEX('Business Plan Detailed'!$C$1:$CU$240,$F49,T$7):INDEX('Business Plan Detailed'!$C$1:$CU$240,$F49,U$7))/12</f>
        <v>1</v>
      </c>
      <c r="U49" s="185">
        <f>(SUM(INDEX('Business Plan Detailed'!$C$1:$CU$240,$F$49,T$7):INDEX('Business Plan Detailed'!$C$1:$CU$240,$F$49,U$7)))*'Headcount Cost Assumptions'!$E28</f>
        <v>18720</v>
      </c>
      <c r="V49" s="228">
        <f>COUNT(INDEX('Business Plan Detailed'!$C$1:$CU$240,$F49,V$7):INDEX('Business Plan Detailed'!$C$1:$CU$240,$F49,W$7))/12</f>
        <v>1</v>
      </c>
      <c r="W49" s="185">
        <f>(SUM(INDEX('Business Plan Detailed'!$C$1:$CU$240,$F$49,V$7):INDEX('Business Plan Detailed'!$C$1:$CU$240,$F$49,W$7)))*'Headcount Cost Assumptions'!$E28</f>
        <v>18720</v>
      </c>
    </row>
    <row r="50" spans="1:23" ht="15.75" customHeight="1" outlineLevel="1">
      <c r="E50" s="208"/>
      <c r="F50" s="212">
        <v>106</v>
      </c>
      <c r="G50" s="84" t="s">
        <v>386</v>
      </c>
      <c r="H50" s="228">
        <f>COUNT(INDEX('Business Plan Detailed'!$C$1:$CU$240,$F50,H$7):INDEX('Business Plan Detailed'!$C$1:$CU$240,$F50,I$7))/12</f>
        <v>0</v>
      </c>
      <c r="I50" s="185">
        <f>(SUM(INDEX('Business Plan Detailed'!$C$1:$CU$240,$F$50,H$7):INDEX('Business Plan Detailed'!$C$1:$CU$240,$F$50,I$7)))*'Headcount Cost Assumptions'!$E29</f>
        <v>0</v>
      </c>
      <c r="J50" s="228">
        <f>COUNT(INDEX('Business Plan Detailed'!$C$1:$CU$240,$F50,J$7):INDEX('Business Plan Detailed'!$C$1:$CU$240,$F50,K$7))/12</f>
        <v>0</v>
      </c>
      <c r="K50" s="185">
        <f>(SUM(INDEX('Business Plan Detailed'!$C$1:$CU$240,$F$50,J$7):INDEX('Business Plan Detailed'!$C$1:$CU$240,$F$50,K$7)))*'Headcount Cost Assumptions'!$E29</f>
        <v>0</v>
      </c>
      <c r="L50" s="228">
        <f>COUNT(INDEX('Business Plan Detailed'!$C$1:$CU$240,$F50,L$7):INDEX('Business Plan Detailed'!$C$1:$CU$240,$F50,M$7))/12</f>
        <v>0</v>
      </c>
      <c r="M50" s="185">
        <f>(SUM(INDEX('Business Plan Detailed'!$C$1:$CU$240,$F$50,L$7):INDEX('Business Plan Detailed'!$C$1:$CU$240,$F$50,M$7)))*'Headcount Cost Assumptions'!$E29</f>
        <v>0</v>
      </c>
      <c r="N50" s="228">
        <f>COUNT(INDEX('Business Plan Detailed'!$C$1:$CU$240,$F50,N$7):INDEX('Business Plan Detailed'!$C$1:$CU$240,$F50,O$7))/12</f>
        <v>0</v>
      </c>
      <c r="O50" s="185">
        <f>(SUM(INDEX('Business Plan Detailed'!$C$1:$CU$240,$F$50,N$7):INDEX('Business Plan Detailed'!$C$1:$CU$240,$F$50,O$7)))*'Headcount Cost Assumptions'!$E29</f>
        <v>0</v>
      </c>
      <c r="P50" s="228">
        <f>COUNT(INDEX('Business Plan Detailed'!$C$1:$CU$240,$F50,P$7):INDEX('Business Plan Detailed'!$C$1:$CU$240,$F50,Q$7))/12</f>
        <v>0.75</v>
      </c>
      <c r="Q50" s="185">
        <f>(SUM(INDEX('Business Plan Detailed'!$C$1:$CU$240,$F$50,P$7):INDEX('Business Plan Detailed'!$C$1:$CU$240,$F$50,Q$7)))*'Headcount Cost Assumptions'!$E29</f>
        <v>14040</v>
      </c>
      <c r="R50" s="228">
        <f>COUNT(INDEX('Business Plan Detailed'!$C$1:$CU$240,$F50,R$7):INDEX('Business Plan Detailed'!$C$1:$CU$240,$F50,S$7))/12</f>
        <v>1</v>
      </c>
      <c r="S50" s="185">
        <f>(SUM(INDEX('Business Plan Detailed'!$C$1:$CU$240,$F$50,R$7):INDEX('Business Plan Detailed'!$C$1:$CU$240,$F$50,S$7)))*'Headcount Cost Assumptions'!$E29</f>
        <v>18720</v>
      </c>
      <c r="T50" s="228">
        <f>COUNT(INDEX('Business Plan Detailed'!$C$1:$CU$240,$F50,T$7):INDEX('Business Plan Detailed'!$C$1:$CU$240,$F50,U$7))/12</f>
        <v>1</v>
      </c>
      <c r="U50" s="185">
        <f>(SUM(INDEX('Business Plan Detailed'!$C$1:$CU$240,$F$50,T$7):INDEX('Business Plan Detailed'!$C$1:$CU$240,$F$50,U$7)))*'Headcount Cost Assumptions'!$E29</f>
        <v>18720</v>
      </c>
      <c r="V50" s="228">
        <f>COUNT(INDEX('Business Plan Detailed'!$C$1:$CU$240,$F50,V$7):INDEX('Business Plan Detailed'!$C$1:$CU$240,$F50,W$7))/12</f>
        <v>1</v>
      </c>
      <c r="W50" s="185">
        <f>(SUM(INDEX('Business Plan Detailed'!$C$1:$CU$240,$F$50,V$7):INDEX('Business Plan Detailed'!$C$1:$CU$240,$F$50,W$7)))*'Headcount Cost Assumptions'!$E29</f>
        <v>18720</v>
      </c>
    </row>
    <row r="51" spans="1:23" ht="15.75" customHeight="1" outlineLevel="1">
      <c r="E51" s="208"/>
      <c r="F51" s="212">
        <v>107</v>
      </c>
      <c r="G51" s="84" t="s">
        <v>387</v>
      </c>
      <c r="H51" s="228">
        <f>COUNT(INDEX('Business Plan Detailed'!$C$1:$CU$240,$F51,H$7):INDEX('Business Plan Detailed'!$C$1:$CU$240,$F51,I$7))/12</f>
        <v>0</v>
      </c>
      <c r="I51" s="185">
        <f>(SUM(INDEX('Business Plan Detailed'!$C$1:$CU$240,$F$51,H$7):INDEX('Business Plan Detailed'!$C$1:$CU$240,$F$51,I$7)))*'Headcount Cost Assumptions'!$E30</f>
        <v>0</v>
      </c>
      <c r="J51" s="228">
        <f>COUNT(INDEX('Business Plan Detailed'!$C$1:$CU$240,$F51,J$7):INDEX('Business Plan Detailed'!$C$1:$CU$240,$F51,K$7))/12</f>
        <v>0</v>
      </c>
      <c r="K51" s="185">
        <f>(SUM(INDEX('Business Plan Detailed'!$C$1:$CU$240,$F$51,J$7):INDEX('Business Plan Detailed'!$C$1:$CU$240,$F$51,K$7)))*'Headcount Cost Assumptions'!$E30</f>
        <v>0</v>
      </c>
      <c r="L51" s="228">
        <f>COUNT(INDEX('Business Plan Detailed'!$C$1:$CU$240,$F51,L$7):INDEX('Business Plan Detailed'!$C$1:$CU$240,$F51,M$7))/12</f>
        <v>0</v>
      </c>
      <c r="M51" s="185">
        <f>(SUM(INDEX('Business Plan Detailed'!$C$1:$CU$240,$F$51,L$7):INDEX('Business Plan Detailed'!$C$1:$CU$240,$F$51,M$7)))*'Headcount Cost Assumptions'!$E30</f>
        <v>0</v>
      </c>
      <c r="N51" s="228">
        <f>COUNT(INDEX('Business Plan Detailed'!$C$1:$CU$240,$F51,N$7):INDEX('Business Plan Detailed'!$C$1:$CU$240,$F51,O$7))/12</f>
        <v>0</v>
      </c>
      <c r="O51" s="185">
        <f>(SUM(INDEX('Business Plan Detailed'!$C$1:$CU$240,$F$51,N$7):INDEX('Business Plan Detailed'!$C$1:$CU$240,$F$51,O$7)))*'Headcount Cost Assumptions'!$E30</f>
        <v>0</v>
      </c>
      <c r="P51" s="228">
        <f>COUNT(INDEX('Business Plan Detailed'!$C$1:$CU$240,$F51,P$7):INDEX('Business Plan Detailed'!$C$1:$CU$240,$F51,Q$7))/12</f>
        <v>0.75</v>
      </c>
      <c r="Q51" s="185">
        <f>(SUM(INDEX('Business Plan Detailed'!$C$1:$CU$240,$F$51,P$7):INDEX('Business Plan Detailed'!$C$1:$CU$240,$F$51,Q$7)))*'Headcount Cost Assumptions'!$E30</f>
        <v>52650</v>
      </c>
      <c r="R51" s="228">
        <f>COUNT(INDEX('Business Plan Detailed'!$C$1:$CU$240,$F51,R$7):INDEX('Business Plan Detailed'!$C$1:$CU$240,$F51,S$7))/12</f>
        <v>1</v>
      </c>
      <c r="S51" s="185">
        <f>(SUM(INDEX('Business Plan Detailed'!$C$1:$CU$240,$F$51,R$7):INDEX('Business Plan Detailed'!$C$1:$CU$240,$F$51,S$7)))*'Headcount Cost Assumptions'!$E30</f>
        <v>70200</v>
      </c>
      <c r="T51" s="228">
        <f>COUNT(INDEX('Business Plan Detailed'!$C$1:$CU$240,$F51,T$7):INDEX('Business Plan Detailed'!$C$1:$CU$240,$F51,U$7))/12</f>
        <v>1</v>
      </c>
      <c r="U51" s="185">
        <f>(SUM(INDEX('Business Plan Detailed'!$C$1:$CU$240,$F$51,T$7):INDEX('Business Plan Detailed'!$C$1:$CU$240,$F$51,U$7)))*'Headcount Cost Assumptions'!$E30</f>
        <v>70200</v>
      </c>
      <c r="V51" s="228">
        <f>COUNT(INDEX('Business Plan Detailed'!$C$1:$CU$240,$F51,V$7):INDEX('Business Plan Detailed'!$C$1:$CU$240,$F51,W$7))/12</f>
        <v>1</v>
      </c>
      <c r="W51" s="185">
        <f>(SUM(INDEX('Business Plan Detailed'!$C$1:$CU$240,$F$51,V$7):INDEX('Business Plan Detailed'!$C$1:$CU$240,$F$51,W$7)))*'Headcount Cost Assumptions'!$E30</f>
        <v>70200</v>
      </c>
    </row>
    <row r="52" spans="1:23" ht="15.75" customHeight="1">
      <c r="E52" s="208"/>
      <c r="F52" s="212"/>
      <c r="G52" s="84"/>
      <c r="H52" s="228"/>
      <c r="I52" s="185"/>
      <c r="J52" s="228"/>
      <c r="K52" s="185"/>
      <c r="L52" s="228"/>
      <c r="M52" s="185"/>
      <c r="N52" s="228"/>
      <c r="O52" s="185"/>
      <c r="P52" s="228"/>
      <c r="Q52" s="185"/>
      <c r="R52" s="228"/>
      <c r="S52" s="185"/>
      <c r="T52" s="228"/>
      <c r="U52" s="185"/>
      <c r="V52" s="228"/>
      <c r="W52" s="185"/>
    </row>
    <row r="53" spans="1:23" ht="12.75">
      <c r="A53" s="210"/>
      <c r="B53" s="210"/>
      <c r="C53" s="210"/>
      <c r="D53" s="210"/>
      <c r="E53" s="210"/>
      <c r="F53" s="211"/>
      <c r="G53" s="191" t="s">
        <v>213</v>
      </c>
      <c r="H53" s="222"/>
      <c r="I53" s="187">
        <f>I55+I64+I70+I78</f>
        <v>663347.40999999992</v>
      </c>
      <c r="J53" s="222"/>
      <c r="K53" s="187">
        <f>K55+K64+K70+K78</f>
        <v>327089.5</v>
      </c>
      <c r="L53" s="222"/>
      <c r="M53" s="187">
        <f>M55+M64+M70+M78</f>
        <v>488654.94400000002</v>
      </c>
      <c r="N53" s="222"/>
      <c r="O53" s="187">
        <f>O55+O64+O70+O78</f>
        <v>1111825.0279999999</v>
      </c>
      <c r="P53" s="222"/>
      <c r="Q53" s="187">
        <f>Q55+Q64+Q70+Q78</f>
        <v>3329750.9130000002</v>
      </c>
      <c r="R53" s="222"/>
      <c r="S53" s="187">
        <f>S55+S64+S70+S78</f>
        <v>4889318.3459999999</v>
      </c>
      <c r="T53" s="222"/>
      <c r="U53" s="187">
        <f>U55+U64+U70+U78</f>
        <v>6871688.8190000001</v>
      </c>
      <c r="V53" s="222"/>
      <c r="W53" s="187">
        <f>W55+W64+W70+W78</f>
        <v>8851862.3320000004</v>
      </c>
    </row>
    <row r="54" spans="1:23" ht="15.75" customHeight="1" outlineLevel="1">
      <c r="E54" s="208"/>
      <c r="F54" s="212"/>
      <c r="G54" s="192"/>
      <c r="H54" s="221"/>
      <c r="I54" s="185"/>
      <c r="J54" s="221"/>
      <c r="K54" s="185"/>
      <c r="L54" s="221"/>
      <c r="M54" s="185"/>
      <c r="N54" s="221"/>
      <c r="O54" s="185"/>
      <c r="P54" s="221"/>
      <c r="Q54" s="185"/>
      <c r="R54" s="221"/>
      <c r="S54" s="185"/>
      <c r="T54" s="221"/>
      <c r="U54" s="185"/>
      <c r="V54" s="221"/>
      <c r="W54" s="185"/>
    </row>
    <row r="55" spans="1:23" ht="12.75" outlineLevel="1">
      <c r="A55" s="210"/>
      <c r="B55" s="210"/>
      <c r="C55" s="210"/>
      <c r="D55" s="210"/>
      <c r="E55" s="210"/>
      <c r="F55" s="211"/>
      <c r="G55" s="191" t="s">
        <v>218</v>
      </c>
      <c r="H55" s="222" t="s">
        <v>130</v>
      </c>
      <c r="I55" s="187">
        <f>SUM(I57:I62)</f>
        <v>429800</v>
      </c>
      <c r="J55" s="222" t="s">
        <v>130</v>
      </c>
      <c r="K55" s="187">
        <f>SUM(K57:K62)</f>
        <v>140800</v>
      </c>
      <c r="L55" s="222" t="s">
        <v>130</v>
      </c>
      <c r="M55" s="187">
        <f>SUM(M57:M62)</f>
        <v>274600</v>
      </c>
      <c r="N55" s="222" t="s">
        <v>130</v>
      </c>
      <c r="O55" s="187">
        <f>SUM(O57:O62)</f>
        <v>885600</v>
      </c>
      <c r="P55" s="222" t="s">
        <v>130</v>
      </c>
      <c r="Q55" s="187">
        <f>SUM(Q57:Q62)</f>
        <v>2726800</v>
      </c>
      <c r="R55" s="222" t="s">
        <v>130</v>
      </c>
      <c r="S55" s="187">
        <f>SUM(S57:S62)</f>
        <v>4310600</v>
      </c>
      <c r="T55" s="222" t="s">
        <v>130</v>
      </c>
      <c r="U55" s="187">
        <f>SUM(U57:U62)</f>
        <v>6180700</v>
      </c>
      <c r="V55" s="222" t="s">
        <v>130</v>
      </c>
      <c r="W55" s="187">
        <f>SUM(W57:W62)</f>
        <v>8121350</v>
      </c>
    </row>
    <row r="56" spans="1:23" ht="15.75" customHeight="1" outlineLevel="2">
      <c r="C56" s="208"/>
      <c r="D56" s="398">
        <v>62</v>
      </c>
      <c r="E56" s="396">
        <v>57</v>
      </c>
      <c r="F56" s="397">
        <v>59</v>
      </c>
      <c r="G56" s="188" t="s">
        <v>405</v>
      </c>
      <c r="H56" s="228">
        <f>COUNT(INDEX('Business Plan Detailed'!$C$1:$CU$240,#REF!,H$7):INDEX('Business Plan Detailed'!$C$1:$CU$240,#REF!,I$7),INDEX('Business Plan Detailed'!$C$1:$CU$240,#REF!,H$7):INDEX('Business Plan Detailed'!$C$1:$CU$240,#REF!,I$7))</f>
        <v>0</v>
      </c>
      <c r="I56" s="185">
        <f>SUM(INDEX('Business Plan Detailed'!$C$1:$CU$240,$E$56,H$7):INDEX('Business Plan Detailed'!$C$1:$CU$240,$E$56,I$7),INDEX('Business Plan Detailed'!$C$1:$CU$240,$D$56,H$7):INDEX('Business Plan Detailed'!$C$1:$CU$240,$D$56,I$7),INDEX('Business Plan Detailed'!$C$1:$CU$240,$F$56,H$7):INDEX('Business Plan Detailed'!$C$1:$CU$240,$F$56,I$7))</f>
        <v>0</v>
      </c>
      <c r="J56" s="228">
        <f>COUNT(INDEX('Business Plan Detailed'!$C$1:$CU$240,#REF!,J$7):INDEX('Business Plan Detailed'!$C$1:$CU$240,#REF!,K$7),INDEX('Business Plan Detailed'!$C$1:$CU$240,#REF!,J$7):INDEX('Business Plan Detailed'!$C$1:$CU$240,#REF!,K$7))</f>
        <v>0</v>
      </c>
      <c r="K56" s="185">
        <f>SUM(INDEX('Business Plan Detailed'!$C$1:$CU$240,$E$56,J$7):INDEX('Business Plan Detailed'!$C$1:$CU$240,$E$56,K$7),INDEX('Business Plan Detailed'!$C$1:$CU$240,$D$56,J$7):INDEX('Business Plan Detailed'!$C$1:$CU$240,$D$56,K$7),INDEX('Business Plan Detailed'!$C$1:$CU$240,$F$56,J$7):INDEX('Business Plan Detailed'!$C$1:$CU$240,$F$56,K$7))</f>
        <v>0</v>
      </c>
      <c r="L56" s="228">
        <f>COUNT(INDEX('Business Plan Detailed'!$C$1:$CU$240,#REF!,L$7):INDEX('Business Plan Detailed'!$C$1:$CU$240,#REF!,M$7),INDEX('Business Plan Detailed'!$C$1:$CU$240,#REF!,L$7):INDEX('Business Plan Detailed'!$C$1:$CU$240,#REF!,M$7))</f>
        <v>0</v>
      </c>
      <c r="M56" s="185">
        <f>SUM(INDEX('Business Plan Detailed'!$C$1:$CU$240,$E$56,L$7):INDEX('Business Plan Detailed'!$C$1:$CU$240,$E$56,M$7),INDEX('Business Plan Detailed'!$C$1:$CU$240,$D$56,L$7):INDEX('Business Plan Detailed'!$C$1:$CU$240,$D$56,M$7),INDEX('Business Plan Detailed'!$C$1:$CU$240,$F$56,L$7):INDEX('Business Plan Detailed'!$C$1:$CU$240,$F$56,M$7))</f>
        <v>0</v>
      </c>
      <c r="N56" s="228">
        <f>COUNT(INDEX('Business Plan Detailed'!$C$1:$CU$240,#REF!,N$7):INDEX('Business Plan Detailed'!$C$1:$CU$240,#REF!,O$7),INDEX('Business Plan Detailed'!$C$1:$CU$240,#REF!,N$7):INDEX('Business Plan Detailed'!$C$1:$CU$240,#REF!,O$7))</f>
        <v>0</v>
      </c>
      <c r="O56" s="185">
        <f>SUM(INDEX('Business Plan Detailed'!$C$1:$CU$240,$E$56,N$7):INDEX('Business Plan Detailed'!$C$1:$CU$240,$E$56,O$7),INDEX('Business Plan Detailed'!$C$1:$CU$240,$D$56,N$7):INDEX('Business Plan Detailed'!$C$1:$CU$240,$D$56,O$7),INDEX('Business Plan Detailed'!$C$1:$CU$240,$F$56,N$7):INDEX('Business Plan Detailed'!$C$1:$CU$240,$F$56,O$7))</f>
        <v>0</v>
      </c>
      <c r="P56" s="228">
        <f>COUNT(INDEX('Business Plan Detailed'!$C$1:$CU$240,#REF!,P$7):INDEX('Business Plan Detailed'!$C$1:$CU$240,#REF!,Q$7),INDEX('Business Plan Detailed'!$C$1:$CU$240,#REF!,P$7):INDEX('Business Plan Detailed'!$C$1:$CU$240,#REF!,Q$7))</f>
        <v>0</v>
      </c>
      <c r="Q56" s="185">
        <f>SUM(INDEX('Business Plan Detailed'!$C$1:$CU$240,$E$56,P$7):INDEX('Business Plan Detailed'!$C$1:$CU$240,$E$56,Q$7),INDEX('Business Plan Detailed'!$C$1:$CU$240,$D$56,P$7):INDEX('Business Plan Detailed'!$C$1:$CU$240,$D$56,Q$7),INDEX('Business Plan Detailed'!$C$1:$CU$240,$F$56,P$7):INDEX('Business Plan Detailed'!$C$1:$CU$240,$F$56,Q$7))</f>
        <v>310000</v>
      </c>
      <c r="R56" s="228">
        <f>COUNT(INDEX('Business Plan Detailed'!$C$1:$CU$240,#REF!,R$7):INDEX('Business Plan Detailed'!$C$1:$CU$240,#REF!,S$7),INDEX('Business Plan Detailed'!$C$1:$CU$240,#REF!,R$7):INDEX('Business Plan Detailed'!$C$1:$CU$240,#REF!,S$7))</f>
        <v>0</v>
      </c>
      <c r="S56" s="185">
        <f>SUM(INDEX('Business Plan Detailed'!$C$1:$CU$240,$E$56,R$7):INDEX('Business Plan Detailed'!$C$1:$CU$240,$E$56,S$7),INDEX('Business Plan Detailed'!$C$1:$CU$240,$D$56,R$7):INDEX('Business Plan Detailed'!$C$1:$CU$240,$D$56,S$7),INDEX('Business Plan Detailed'!$C$1:$CU$240,$F$56,R$7):INDEX('Business Plan Detailed'!$C$1:$CU$240,$F$56,S$7))</f>
        <v>0</v>
      </c>
      <c r="T56" s="228">
        <f>COUNT(INDEX('Business Plan Detailed'!$C$1:$CU$240,#REF!,T$7):INDEX('Business Plan Detailed'!$C$1:$CU$240,#REF!,U$7),INDEX('Business Plan Detailed'!$C$1:$CU$240,#REF!,T$7):INDEX('Business Plan Detailed'!$C$1:$CU$240,#REF!,U$7))</f>
        <v>0</v>
      </c>
      <c r="U56" s="185">
        <f>SUM(INDEX('Business Plan Detailed'!$C$1:$CU$240,$E$56,T$7):INDEX('Business Plan Detailed'!$C$1:$CU$240,$E$56,U$7),INDEX('Business Plan Detailed'!$C$1:$CU$240,$D$56,T$7):INDEX('Business Plan Detailed'!$C$1:$CU$240,$D$56,U$7),INDEX('Business Plan Detailed'!$C$1:$CU$240,$F$56,T$7):INDEX('Business Plan Detailed'!$C$1:$CU$240,$F$56,U$7))</f>
        <v>0</v>
      </c>
      <c r="V56" s="228">
        <f>COUNT(INDEX('Business Plan Detailed'!$C$1:$CU$240,#REF!,V$7):INDEX('Business Plan Detailed'!$C$1:$CU$240,#REF!,W$7),INDEX('Business Plan Detailed'!$C$1:$CU$240,#REF!,V$7):INDEX('Business Plan Detailed'!$C$1:$CU$240,#REF!,W$7))</f>
        <v>0</v>
      </c>
      <c r="W56" s="185">
        <f>SUM(INDEX('Business Plan Detailed'!$C$1:$CU$240,$E$56,V$7):INDEX('Business Plan Detailed'!$C$1:$CU$240,$E$56,W$7),INDEX('Business Plan Detailed'!$C$1:$CU$240,$D$56,V$7):INDEX('Business Plan Detailed'!$C$1:$CU$240,$D$56,W$7),INDEX('Business Plan Detailed'!$C$1:$CU$240,$F$56,V$7):INDEX('Business Plan Detailed'!$C$1:$CU$240,$F$56,W$7))</f>
        <v>0</v>
      </c>
    </row>
    <row r="57" spans="1:23" ht="15.75" customHeight="1" outlineLevel="2">
      <c r="A57" s="396">
        <v>78</v>
      </c>
      <c r="B57" s="396">
        <v>80</v>
      </c>
      <c r="C57" s="399">
        <v>113</v>
      </c>
      <c r="D57" s="396">
        <v>116</v>
      </c>
      <c r="E57" s="396">
        <v>119</v>
      </c>
      <c r="F57" s="397">
        <v>126</v>
      </c>
      <c r="G57" s="188" t="s">
        <v>214</v>
      </c>
      <c r="H57" s="228">
        <f>COUNT(INDEX('Business Plan Detailed'!$C$1:$CU$240,$B$57,H$7):INDEX('Business Plan Detailed'!$C$1:$CU$240,$C$57,I$7),INDEX('Business Plan Detailed'!$C$1:$CU$240,$D$57,H$7):INDEX('Business Plan Detailed'!$C$1:$CU$240,#REF!,I$7))</f>
        <v>110</v>
      </c>
      <c r="I57" s="185">
        <f>SUM(INDEX('Business Plan Detailed'!$C$1:$CU$240,$A$57,H$7):INDEX('Business Plan Detailed'!$C$1:$CU$240,$B$57,I$7),INDEX('Business Plan Detailed'!$C$1:$CU$240,$E$57,H$7):INDEX('Business Plan Detailed'!$C$1:$CU$240,$F$57,I$7),INDEX('Business Plan Detailed'!$C$1:$CU$240,$C$57,H$7):INDEX('Business Plan Detailed'!$C$1:$CU$240,$D$57,I$7))</f>
        <v>224000</v>
      </c>
      <c r="J57" s="228"/>
      <c r="K57" s="185">
        <f>SUM(INDEX('Business Plan Detailed'!$C$1:$CU$240,$A$57,J$7):INDEX('Business Plan Detailed'!$C$1:$CU$240,$B$57,K$7),INDEX('Business Plan Detailed'!$C$1:$CU$240,$E$57,J$7):INDEX('Business Plan Detailed'!$C$1:$CU$240,$F$57,K$7),INDEX('Business Plan Detailed'!$C$1:$CU$240,$C$57,J$7):INDEX('Business Plan Detailed'!$C$1:$CU$240,$D$57,K$7))</f>
        <v>7000</v>
      </c>
      <c r="L57" s="228"/>
      <c r="M57" s="185">
        <f>SUM(INDEX('Business Plan Detailed'!$C$1:$CU$240,$A$57,L$7):INDEX('Business Plan Detailed'!$C$1:$CU$240,$B$57,M$7),INDEX('Business Plan Detailed'!$C$1:$CU$240,$E$57,L$7):INDEX('Business Plan Detailed'!$C$1:$CU$240,$F$57,M$7),INDEX('Business Plan Detailed'!$C$1:$CU$240,$C$57,L$7):INDEX('Business Plan Detailed'!$C$1:$CU$240,$D$57,M$7))</f>
        <v>25000</v>
      </c>
      <c r="N57" s="228"/>
      <c r="O57" s="185">
        <f>SUM(INDEX('Business Plan Detailed'!$C$1:$CU$240,$A$57,N$7):INDEX('Business Plan Detailed'!$C$1:$CU$240,$B$57,O$7),INDEX('Business Plan Detailed'!$C$1:$CU$240,$E$57,N$7):INDEX('Business Plan Detailed'!$C$1:$CU$240,$F$57,O$7),INDEX('Business Plan Detailed'!$C$1:$CU$240,$C$57,N$7):INDEX('Business Plan Detailed'!$C$1:$CU$240,$D$57,O$7))</f>
        <v>236000</v>
      </c>
      <c r="P57" s="228"/>
      <c r="Q57" s="185">
        <f>SUM(INDEX('Business Plan Detailed'!$C$1:$CU$240,$A$57,P$7):INDEX('Business Plan Detailed'!$C$1:$CU$240,$B$57,Q$7),INDEX('Business Plan Detailed'!$C$1:$CU$240,$E$57,P$7):INDEX('Business Plan Detailed'!$C$1:$CU$240,$F$57,Q$7),INDEX('Business Plan Detailed'!$C$1:$CU$240,$C$57,P$7):INDEX('Business Plan Detailed'!$C$1:$CU$240,$D$57,Q$7))</f>
        <v>787000</v>
      </c>
      <c r="R57" s="228"/>
      <c r="S57" s="185">
        <f>SUM(INDEX('Business Plan Detailed'!$C$1:$CU$240,$A$57,R$7):INDEX('Business Plan Detailed'!$C$1:$CU$240,$B$57,S$7),INDEX('Business Plan Detailed'!$C$1:$CU$240,$E$57,R$7):INDEX('Business Plan Detailed'!$C$1:$CU$240,$F$57,S$7),INDEX('Business Plan Detailed'!$C$1:$CU$240,$C$57,R$7):INDEX('Business Plan Detailed'!$C$1:$CU$240,$D$57,S$7))</f>
        <v>371000</v>
      </c>
      <c r="T57" s="228"/>
      <c r="U57" s="185">
        <f>SUM(INDEX('Business Plan Detailed'!$C$1:$CU$240,$A$57,T$7):INDEX('Business Plan Detailed'!$C$1:$CU$240,$B$57,U$7),INDEX('Business Plan Detailed'!$C$1:$CU$240,$E$57,T$7):INDEX('Business Plan Detailed'!$C$1:$CU$240,$F$57,U$7),INDEX('Business Plan Detailed'!$C$1:$CU$240,$C$57,T$7):INDEX('Business Plan Detailed'!$C$1:$CU$240,$D$57,U$7))</f>
        <v>271000</v>
      </c>
      <c r="V57" s="228"/>
      <c r="W57" s="185">
        <f>SUM(INDEX('Business Plan Detailed'!$C$1:$CU$240,$A$57,V$7):INDEX('Business Plan Detailed'!$C$1:$CU$240,$B$57,W$7),INDEX('Business Plan Detailed'!$C$1:$CU$240,$E$57,V$7):INDEX('Business Plan Detailed'!$C$1:$CU$240,$F$57,W$7),INDEX('Business Plan Detailed'!$C$1:$CU$240,$C$57,V$7):INDEX('Business Plan Detailed'!$C$1:$CU$240,$D$57,W$7))</f>
        <v>259000</v>
      </c>
    </row>
    <row r="58" spans="1:23" ht="15.75" customHeight="1" outlineLevel="2">
      <c r="E58" s="399">
        <v>129</v>
      </c>
      <c r="F58" s="398">
        <v>138</v>
      </c>
      <c r="G58" s="188" t="s">
        <v>215</v>
      </c>
      <c r="H58" s="228">
        <f>COUNT('Business Plan Detailed'!D130:D137)+COUNT('Business Plan Detailed'!D138:O138)*8</f>
        <v>8</v>
      </c>
      <c r="I58" s="185">
        <f>SUM(INDEX('Business Plan Detailed'!$C$1:$CU$240,$E$58,H$7):INDEX('Business Plan Detailed'!$C$1:$CU$240,$F$58,I$7))</f>
        <v>125000</v>
      </c>
      <c r="J58" s="228">
        <f>J24*8</f>
        <v>0</v>
      </c>
      <c r="K58" s="185">
        <f>SUM(INDEX('Business Plan Detailed'!$C$1:$CU$240,$E$58,J$7):INDEX('Business Plan Detailed'!$C$1:$CU$240,$F$58,K$7))</f>
        <v>125000</v>
      </c>
      <c r="L58" s="228">
        <f>L24*8</f>
        <v>24</v>
      </c>
      <c r="M58" s="185">
        <f>SUM(INDEX('Business Plan Detailed'!$C$1:$CU$240,$E$58,L$7):INDEX('Business Plan Detailed'!$C$1:$CU$240,$F$58,M$7))</f>
        <v>240800</v>
      </c>
      <c r="N58" s="228">
        <f>N24*8</f>
        <v>48</v>
      </c>
      <c r="O58" s="185">
        <f>SUM(INDEX('Business Plan Detailed'!$C$1:$CU$240,$E$58,N$7):INDEX('Business Plan Detailed'!$C$1:$CU$240,$F$58,O$7))</f>
        <v>604800</v>
      </c>
      <c r="P58" s="228">
        <f>P24*8</f>
        <v>160</v>
      </c>
      <c r="Q58" s="185">
        <f>SUM(INDEX('Business Plan Detailed'!$C$1:$CU$240,$E$58,P$7):INDEX('Business Plan Detailed'!$C$1:$CU$240,$F$58,Q$7))</f>
        <v>1919200</v>
      </c>
      <c r="R58" s="228">
        <f>R24*8</f>
        <v>320</v>
      </c>
      <c r="S58" s="185">
        <f>SUM(INDEX('Business Plan Detailed'!$C$1:$CU$240,$E$58,R$7):INDEX('Business Plan Detailed'!$C$1:$CU$240,$F$58,S$7))</f>
        <v>3846400</v>
      </c>
      <c r="T58" s="228">
        <f>T24*8</f>
        <v>480</v>
      </c>
      <c r="U58" s="185">
        <f>SUM(INDEX('Business Plan Detailed'!$C$1:$CU$240,$E$58,T$7):INDEX('Business Plan Detailed'!$C$1:$CU$240,$F$58,U$7))</f>
        <v>5786400</v>
      </c>
      <c r="V58" s="228">
        <f>V24*8</f>
        <v>640</v>
      </c>
      <c r="W58" s="185">
        <f>SUM(INDEX('Business Plan Detailed'!$C$1:$CU$240,$E$58,V$7):INDEX('Business Plan Detailed'!$C$1:$CU$240,$F$58,W$7))</f>
        <v>7739200</v>
      </c>
    </row>
    <row r="59" spans="1:23" ht="15.75" customHeight="1" outlineLevel="2">
      <c r="E59" s="208"/>
      <c r="F59" s="398">
        <v>110</v>
      </c>
      <c r="G59" s="188" t="s">
        <v>216</v>
      </c>
      <c r="H59" s="228"/>
      <c r="I59" s="185">
        <f>SUM(INDEX('Business Plan Detailed'!$C$1:$CU$240,$F$59,H$7):INDEX('Business Plan Detailed'!$C$1:$CU$240,$F$59,I$7))</f>
        <v>15000</v>
      </c>
      <c r="J59" s="228"/>
      <c r="K59" s="185">
        <f>SUM(INDEX('Business Plan Detailed'!$C$1:$CU$240,$F$59,J$7):INDEX('Business Plan Detailed'!$C$1:$CU$240,$F$59,K$7))</f>
        <v>3000</v>
      </c>
      <c r="L59" s="228"/>
      <c r="M59" s="185">
        <f>SUM(INDEX('Business Plan Detailed'!$C$1:$CU$240,$F$59,L$7):INDEX('Business Plan Detailed'!$C$1:$CU$240,$F$59,M$7))</f>
        <v>3000</v>
      </c>
      <c r="N59" s="228"/>
      <c r="O59" s="185">
        <f>SUM(INDEX('Business Plan Detailed'!$C$1:$CU$240,$F$59,N$7):INDEX('Business Plan Detailed'!$C$1:$CU$240,$F$59,O$7))</f>
        <v>4000</v>
      </c>
      <c r="P59" s="228"/>
      <c r="Q59" s="185">
        <f>SUM(INDEX('Business Plan Detailed'!$C$1:$CU$240,$F$59,P$7):INDEX('Business Plan Detailed'!$C$1:$CU$240,$F$59,Q$7))</f>
        <v>10000</v>
      </c>
      <c r="R59" s="228"/>
      <c r="S59" s="185">
        <f>SUM(INDEX('Business Plan Detailed'!$C$1:$CU$240,$F$59,R$7):INDEX('Business Plan Detailed'!$C$1:$CU$240,$F$59,S$7))</f>
        <v>5000</v>
      </c>
      <c r="T59" s="228"/>
      <c r="U59" s="185">
        <f>SUM(INDEX('Business Plan Detailed'!$C$1:$CU$240,$F$59,T$7):INDEX('Business Plan Detailed'!$C$1:$CU$240,$F$59,U$7))</f>
        <v>5000</v>
      </c>
      <c r="V59" s="228"/>
      <c r="W59" s="185">
        <f>SUM(INDEX('Business Plan Detailed'!$C$1:$CU$240,$F$59,V$7):INDEX('Business Plan Detailed'!$C$1:$CU$240,$F$59,W$7))</f>
        <v>5000</v>
      </c>
    </row>
    <row r="60" spans="1:23" ht="15.75" customHeight="1" outlineLevel="2">
      <c r="D60" s="396">
        <v>147</v>
      </c>
      <c r="E60" s="399">
        <v>63</v>
      </c>
      <c r="F60" s="398">
        <v>64</v>
      </c>
      <c r="G60" s="188" t="s">
        <v>407</v>
      </c>
      <c r="H60" s="228">
        <f>COUNT('Business Plan Detailed'!D64:O64)</f>
        <v>1</v>
      </c>
      <c r="I60" s="185">
        <f>SUM(INDEX('Business Plan Detailed'!$C$1:$CU$240,$D$60,H$7):INDEX('Business Plan Detailed'!$C$1:$CU$240,$D$60,I$7),INDEX('Business Plan Detailed'!$C$1:$CU$240,$E$60,H$7):INDEX('Business Plan Detailed'!$C$1:$CU$240,$F$60,I$7))</f>
        <v>15800</v>
      </c>
      <c r="J60" s="228">
        <f>COUNT('Business Plan Detailed'!P64:AA64)</f>
        <v>0</v>
      </c>
      <c r="K60" s="185">
        <f>SUM(INDEX('Business Plan Detailed'!$C$1:$CU$240,$D$60,J$7):INDEX('Business Plan Detailed'!$C$1:$CU$240,$D$60,K$7),INDEX('Business Plan Detailed'!$C$1:$CU$240,$E$60,J$7):INDEX('Business Plan Detailed'!$C$1:$CU$240,$F$60,K$7))</f>
        <v>5800</v>
      </c>
      <c r="L60" s="228">
        <f>COUNT('Business Plan Detailed'!AB64:AM64)</f>
        <v>0</v>
      </c>
      <c r="M60" s="185">
        <f>SUM(INDEX('Business Plan Detailed'!$C$1:$CU$240,$D$60,L$7):INDEX('Business Plan Detailed'!$C$1:$CU$240,$D$60,M$7),INDEX('Business Plan Detailed'!$C$1:$CU$240,$E$60,L$7):INDEX('Business Plan Detailed'!$C$1:$CU$240,$F$60,M$7))</f>
        <v>5800</v>
      </c>
      <c r="N60" s="228">
        <f>COUNT('Business Plan Detailed'!AN64:AY64)</f>
        <v>2</v>
      </c>
      <c r="O60" s="185">
        <f>SUM(INDEX('Business Plan Detailed'!$C$1:$CU$240,$D$60,N$7):INDEX('Business Plan Detailed'!$C$1:$CU$240,$D$60,O$7),INDEX('Business Plan Detailed'!$C$1:$CU$240,$E$60,N$7):INDEX('Business Plan Detailed'!$C$1:$CU$240,$F$60,O$7))</f>
        <v>25800</v>
      </c>
      <c r="P60" s="228">
        <f>COUNT('Business Plan Detailed'!AZ64:BK64)</f>
        <v>0</v>
      </c>
      <c r="Q60" s="185">
        <f>SUM(INDEX('Business Plan Detailed'!$C$1:$CU$240,$D$60,P$7):INDEX('Business Plan Detailed'!$C$1:$CU$240,$D$60,Q$7),INDEX('Business Plan Detailed'!$C$1:$CU$240,$E$60,P$7):INDEX('Business Plan Detailed'!$C$1:$CU$240,$F$60,Q$7))</f>
        <v>5800</v>
      </c>
      <c r="R60" s="228">
        <f>COUNT('Business Plan Detailed'!BL64:BW64)</f>
        <v>0</v>
      </c>
      <c r="S60" s="185">
        <f>SUM(INDEX('Business Plan Detailed'!$C$1:$CU$240,$D$60,R$7):INDEX('Business Plan Detailed'!$C$1:$CU$240,$D$60,S$7),INDEX('Business Plan Detailed'!$C$1:$CU$240,$E$60,R$7):INDEX('Business Plan Detailed'!$C$1:$CU$240,$F$60,S$7))</f>
        <v>12200</v>
      </c>
      <c r="T60" s="228">
        <f>COUNT('Business Plan Detailed'!BX64:CI64)</f>
        <v>0</v>
      </c>
      <c r="U60" s="185">
        <f>SUM(INDEX('Business Plan Detailed'!$C$1:$CU$240,$D$60,T$7):INDEX('Business Plan Detailed'!$C$1:$CU$240,$D$60,U$7),INDEX('Business Plan Detailed'!$C$1:$CU$240,$E$60,T$7):INDEX('Business Plan Detailed'!$C$1:$CU$240,$F$60,U$7))</f>
        <v>19400</v>
      </c>
      <c r="V60" s="228">
        <f>COUNT('Business Plan Detailed'!CJ64:CU64)</f>
        <v>0</v>
      </c>
      <c r="W60" s="185">
        <f>SUM(INDEX('Business Plan Detailed'!$C$1:$CU$240,$D$60,V$7):INDEX('Business Plan Detailed'!$C$1:$CU$240,$D$60,W$7),INDEX('Business Plan Detailed'!$C$1:$CU$240,$E$60,V$7):INDEX('Business Plan Detailed'!$C$1:$CU$240,$F$60,W$7))</f>
        <v>27000</v>
      </c>
    </row>
    <row r="61" spans="1:23" ht="15.75" customHeight="1" outlineLevel="2">
      <c r="C61" s="208"/>
      <c r="D61" s="212"/>
      <c r="E61" s="396">
        <v>70</v>
      </c>
      <c r="F61" s="397">
        <v>76</v>
      </c>
      <c r="G61" s="188" t="s">
        <v>406</v>
      </c>
      <c r="H61" s="228"/>
      <c r="I61" s="185">
        <f>SUM(INDEX('Business Plan Detailed'!$C$1:$CU$240,$E$61,H$7):INDEX('Business Plan Detailed'!$C$1:$CU$240,$F$61,I$7))</f>
        <v>0</v>
      </c>
      <c r="J61" s="228"/>
      <c r="K61" s="185">
        <f>SUM(INDEX('Business Plan Detailed'!$C$1:$CU$240,$E$61,J$7):INDEX('Business Plan Detailed'!$C$1:$CU$240,$F$61,K$7))</f>
        <v>0</v>
      </c>
      <c r="L61" s="228"/>
      <c r="M61" s="185">
        <f>SUM(INDEX('Business Plan Detailed'!$C$1:$CU$240,$E$61,L$7):INDEX('Business Plan Detailed'!$C$1:$CU$240,$F$61,M$7))</f>
        <v>0</v>
      </c>
      <c r="N61" s="228"/>
      <c r="O61" s="185">
        <f>SUM(INDEX('Business Plan Detailed'!$C$1:$CU$240,$E$61,N$7):INDEX('Business Plan Detailed'!$C$1:$CU$240,$F$61,O$7))</f>
        <v>0</v>
      </c>
      <c r="P61" s="228"/>
      <c r="Q61" s="185">
        <f>SUM(INDEX('Business Plan Detailed'!$C$1:$CU$240,$E$61,P$7):INDEX('Business Plan Detailed'!$C$1:$CU$240,$F$61,Q$7))</f>
        <v>0</v>
      </c>
      <c r="R61" s="228"/>
      <c r="S61" s="185">
        <f>SUM(INDEX('Business Plan Detailed'!$C$1:$CU$240,$E$61,R$7):INDEX('Business Plan Detailed'!$C$1:$CU$240,$F$61,S$7))</f>
        <v>71200</v>
      </c>
      <c r="T61" s="228"/>
      <c r="U61" s="185">
        <f>SUM(INDEX('Business Plan Detailed'!$C$1:$CU$240,$E$61,T$7):INDEX('Business Plan Detailed'!$C$1:$CU$240,$F$61,U$7))</f>
        <v>94100</v>
      </c>
      <c r="V61" s="228"/>
      <c r="W61" s="185">
        <f>SUM(INDEX('Business Plan Detailed'!$C$1:$CU$240,$E$61,V$7):INDEX('Business Plan Detailed'!$C$1:$CU$240,$F$61,W$7))</f>
        <v>86350</v>
      </c>
    </row>
    <row r="62" spans="1:23" ht="15.75" customHeight="1" outlineLevel="2">
      <c r="C62" s="208"/>
      <c r="D62" s="212"/>
      <c r="E62" s="396">
        <v>117</v>
      </c>
      <c r="F62" s="397">
        <v>118</v>
      </c>
      <c r="G62" s="188" t="s">
        <v>217</v>
      </c>
      <c r="H62" s="228">
        <f>COUNT(INDEX('Business Plan Detailed'!$C$1:$CU$240,#REF!,H$7):INDEX('Business Plan Detailed'!$C$1:$CU$240,#REF!,I$7),INDEX('Business Plan Detailed'!$C$1:$CU$240,#REF!,H$7):INDEX('Business Plan Detailed'!$C$1:$CU$240,#REF!,I$7))</f>
        <v>0</v>
      </c>
      <c r="I62" s="185">
        <f>SUM(INDEX('Business Plan Detailed'!$C$1:$CU$240,$E$62,H$7):INDEX('Business Plan Detailed'!$C$1:$CU$240,$F$62,I$7))</f>
        <v>50000</v>
      </c>
      <c r="J62" s="228">
        <f>COUNT(INDEX('Business Plan Detailed'!$C$1:$CU$240,#REF!,J$7):INDEX('Business Plan Detailed'!$C$1:$CU$240,#REF!,K$7),INDEX('Business Plan Detailed'!$C$1:$CU$240,#REF!,J$7):INDEX('Business Plan Detailed'!$C$1:$CU$240,#REF!,K$7))</f>
        <v>0</v>
      </c>
      <c r="K62" s="185">
        <f>SUM(INDEX('Business Plan Detailed'!$C$1:$CU$240,$E$62,J$7):INDEX('Business Plan Detailed'!$C$1:$CU$240,$F$62,K$7))</f>
        <v>0</v>
      </c>
      <c r="L62" s="228">
        <f>COUNT(INDEX('Business Plan Detailed'!$C$1:$CU$240,#REF!,L$7):INDEX('Business Plan Detailed'!$C$1:$CU$240,#REF!,M$7),INDEX('Business Plan Detailed'!$C$1:$CU$240,#REF!,L$7):INDEX('Business Plan Detailed'!$C$1:$CU$240,#REF!,M$7))</f>
        <v>0</v>
      </c>
      <c r="M62" s="185">
        <f>SUM(INDEX('Business Plan Detailed'!$C$1:$CU$240,$E$62,L$7):INDEX('Business Plan Detailed'!$C$1:$CU$240,$F$62,M$7))</f>
        <v>0</v>
      </c>
      <c r="N62" s="228">
        <f>COUNT(INDEX('Business Plan Detailed'!$C$1:$CU$240,#REF!,N$7):INDEX('Business Plan Detailed'!$C$1:$CU$240,#REF!,O$7),INDEX('Business Plan Detailed'!$C$1:$CU$240,#REF!,N$7):INDEX('Business Plan Detailed'!$C$1:$CU$240,#REF!,O$7))</f>
        <v>0</v>
      </c>
      <c r="O62" s="185">
        <f>SUM(INDEX('Business Plan Detailed'!$C$1:$CU$240,$E$62,N$7):INDEX('Business Plan Detailed'!$C$1:$CU$240,$F$62,O$7))</f>
        <v>15000</v>
      </c>
      <c r="P62" s="228">
        <f>COUNT(INDEX('Business Plan Detailed'!$C$1:$CU$240,#REF!,P$7):INDEX('Business Plan Detailed'!$C$1:$CU$240,#REF!,Q$7),INDEX('Business Plan Detailed'!$C$1:$CU$240,#REF!,P$7):INDEX('Business Plan Detailed'!$C$1:$CU$240,#REF!,Q$7))</f>
        <v>0</v>
      </c>
      <c r="Q62" s="185">
        <f>SUM(INDEX('Business Plan Detailed'!$C$1:$CU$240,$E$62,P$7):INDEX('Business Plan Detailed'!$C$1:$CU$240,$F$62,Q$7))</f>
        <v>4800</v>
      </c>
      <c r="R62" s="228">
        <f>COUNT(INDEX('Business Plan Detailed'!$C$1:$CU$240,#REF!,R$7):INDEX('Business Plan Detailed'!$C$1:$CU$240,#REF!,S$7),INDEX('Business Plan Detailed'!$C$1:$CU$240,#REF!,R$7):INDEX('Business Plan Detailed'!$C$1:$CU$240,#REF!,S$7))</f>
        <v>0</v>
      </c>
      <c r="S62" s="185">
        <f>SUM(INDEX('Business Plan Detailed'!$C$1:$CU$240,$E$62,R$7):INDEX('Business Plan Detailed'!$C$1:$CU$240,$F$62,S$7))</f>
        <v>4800</v>
      </c>
      <c r="T62" s="228">
        <f>COUNT(INDEX('Business Plan Detailed'!$C$1:$CU$240,#REF!,T$7):INDEX('Business Plan Detailed'!$C$1:$CU$240,#REF!,U$7),INDEX('Business Plan Detailed'!$C$1:$CU$240,#REF!,T$7):INDEX('Business Plan Detailed'!$C$1:$CU$240,#REF!,U$7))</f>
        <v>0</v>
      </c>
      <c r="U62" s="185">
        <f>SUM(INDEX('Business Plan Detailed'!$C$1:$CU$240,$E$62,T$7):INDEX('Business Plan Detailed'!$C$1:$CU$240,$F$62,U$7))</f>
        <v>4800</v>
      </c>
      <c r="V62" s="228">
        <f>COUNT(INDEX('Business Plan Detailed'!$C$1:$CU$240,#REF!,V$7):INDEX('Business Plan Detailed'!$C$1:$CU$240,#REF!,W$7),INDEX('Business Plan Detailed'!$C$1:$CU$240,#REF!,V$7):INDEX('Business Plan Detailed'!$C$1:$CU$240,#REF!,W$7))</f>
        <v>0</v>
      </c>
      <c r="W62" s="185">
        <f>SUM(INDEX('Business Plan Detailed'!$C$1:$CU$240,$E$62,V$7):INDEX('Business Plan Detailed'!$C$1:$CU$240,$F$62,W$7))</f>
        <v>4800</v>
      </c>
    </row>
    <row r="63" spans="1:23" ht="15.75" customHeight="1" outlineLevel="1">
      <c r="E63" s="208"/>
      <c r="F63" s="212"/>
      <c r="G63" s="190"/>
      <c r="H63" s="228"/>
      <c r="I63" s="185"/>
      <c r="J63" s="228"/>
      <c r="K63" s="185"/>
      <c r="L63" s="228"/>
      <c r="M63" s="185"/>
      <c r="N63" s="228"/>
      <c r="O63" s="185"/>
      <c r="P63" s="228"/>
      <c r="Q63" s="185"/>
      <c r="R63" s="228"/>
      <c r="S63" s="185"/>
      <c r="T63" s="228"/>
      <c r="U63" s="185"/>
      <c r="V63" s="228"/>
      <c r="W63" s="185"/>
    </row>
    <row r="64" spans="1:23" ht="12.75" outlineLevel="1">
      <c r="A64" s="210"/>
      <c r="B64" s="210"/>
      <c r="C64" s="210"/>
      <c r="D64" s="210"/>
      <c r="E64" s="210"/>
      <c r="F64" s="211"/>
      <c r="G64" s="191" t="s">
        <v>44</v>
      </c>
      <c r="H64" s="222" t="e">
        <f>#REF!+H132+H142</f>
        <v>#REF!</v>
      </c>
      <c r="I64" s="187">
        <f>SUM(I65:I68)</f>
        <v>62547.409999999996</v>
      </c>
      <c r="J64" s="222" t="e">
        <f>#REF!+J132+J142</f>
        <v>#REF!</v>
      </c>
      <c r="K64" s="187">
        <f>SUM(K65:K68)</f>
        <v>54289.5</v>
      </c>
      <c r="L64" s="222" t="e">
        <f>#REF!+L132+L142</f>
        <v>#REF!</v>
      </c>
      <c r="M64" s="187">
        <f>SUM(M65:M68)</f>
        <v>52054.944000000003</v>
      </c>
      <c r="N64" s="222" t="e">
        <f>#REF!+N132+N142</f>
        <v>#REF!</v>
      </c>
      <c r="O64" s="187">
        <f>SUM(O65:O68)</f>
        <v>50775.027999999998</v>
      </c>
      <c r="P64" s="222" t="e">
        <f>#REF!+P132+P142</f>
        <v>#REF!</v>
      </c>
      <c r="Q64" s="187">
        <f>SUM(Q65:Q68)</f>
        <v>274850.913</v>
      </c>
      <c r="R64" s="222" t="e">
        <f>#REF!+R132+R142</f>
        <v>#REF!</v>
      </c>
      <c r="S64" s="187">
        <f>SUM(S65:S68)</f>
        <v>187318.34600000002</v>
      </c>
      <c r="T64" s="222" t="e">
        <f>#REF!+T132+T142</f>
        <v>#REF!</v>
      </c>
      <c r="U64" s="187">
        <f>SUM(U65:U68)</f>
        <v>279288.81900000002</v>
      </c>
      <c r="V64" s="222" t="e">
        <f>#REF!+V132+V142</f>
        <v>#REF!</v>
      </c>
      <c r="W64" s="187">
        <f>SUM(W65:W68)</f>
        <v>403162.33200000005</v>
      </c>
    </row>
    <row r="65" spans="1:23" ht="12.75" outlineLevel="2">
      <c r="E65" s="396">
        <v>56</v>
      </c>
      <c r="F65" s="397">
        <v>58</v>
      </c>
      <c r="G65" s="188" t="s">
        <v>219</v>
      </c>
      <c r="H65" s="229"/>
      <c r="I65" s="185">
        <f>SUM(INDEX('Business Plan Detailed'!$C$1:$CU$240,$E$65,H$7):INDEX('Business Plan Detailed'!$C$1:$CU$240,$E$65,I$7),INDEX('Business Plan Detailed'!$C$1:$CU$240,$F$65,H$7):INDEX('Business Plan Detailed'!$C$1:$CU$240,$F$65,I$7))</f>
        <v>37700</v>
      </c>
      <c r="J65" s="229"/>
      <c r="K65" s="185">
        <f>SUM(INDEX('Business Plan Detailed'!$C$1:$CU$240,$E$65,J$7):INDEX('Business Plan Detailed'!$C$1:$CU$240,$E$65,K$7),INDEX('Business Plan Detailed'!$C$1:$CU$240,$F$65,J$7):INDEX('Business Plan Detailed'!$C$1:$CU$240,$F$65,K$7))</f>
        <v>24000</v>
      </c>
      <c r="L65" s="229"/>
      <c r="M65" s="185">
        <f>SUM(INDEX('Business Plan Detailed'!$C$1:$CU$240,$E$65,L$7):INDEX('Business Plan Detailed'!$C$1:$CU$240,$E$65,M$7),INDEX('Business Plan Detailed'!$C$1:$CU$240,$F$65,L$7):INDEX('Business Plan Detailed'!$C$1:$CU$240,$F$65,M$7))</f>
        <v>24000</v>
      </c>
      <c r="N65" s="229"/>
      <c r="O65" s="185">
        <f>SUM(INDEX('Business Plan Detailed'!$C$1:$CU$240,$E$65,N$7):INDEX('Business Plan Detailed'!$C$1:$CU$240,$E$65,O$7),INDEX('Business Plan Detailed'!$C$1:$CU$240,$F$65,N$7):INDEX('Business Plan Detailed'!$C$1:$CU$240,$F$65,O$7))</f>
        <v>24000</v>
      </c>
      <c r="P65" s="229"/>
      <c r="Q65" s="185">
        <f>SUM(INDEX('Business Plan Detailed'!$C$1:$CU$240,$E$65,P$7):INDEX('Business Plan Detailed'!$C$1:$CU$240,$E$65,Q$7),INDEX('Business Plan Detailed'!$C$1:$CU$240,$F$65,P$7):INDEX('Business Plan Detailed'!$C$1:$CU$240,$F$65,Q$7))</f>
        <v>106000</v>
      </c>
      <c r="R65" s="229"/>
      <c r="S65" s="185">
        <f>SUM(INDEX('Business Plan Detailed'!$C$1:$CU$240,$E$65,R$7):INDEX('Business Plan Detailed'!$C$1:$CU$240,$E$65,S$7),INDEX('Business Plan Detailed'!$C$1:$CU$240,$F$65,R$7):INDEX('Business Plan Detailed'!$C$1:$CU$240,$F$65,S$7))</f>
        <v>2000</v>
      </c>
      <c r="T65" s="229"/>
      <c r="U65" s="185">
        <f>SUM(INDEX('Business Plan Detailed'!$C$1:$CU$240,$E$65,T$7):INDEX('Business Plan Detailed'!$C$1:$CU$240,$E$65,U$7),INDEX('Business Plan Detailed'!$C$1:$CU$240,$F$65,T$7):INDEX('Business Plan Detailed'!$C$1:$CU$240,$F$65,U$7))</f>
        <v>0</v>
      </c>
      <c r="V65" s="229"/>
      <c r="W65" s="185">
        <f>SUM(INDEX('Business Plan Detailed'!$C$1:$CU$240,$E$65,V$7):INDEX('Business Plan Detailed'!$C$1:$CU$240,$E$65,W$7),INDEX('Business Plan Detailed'!$C$1:$CU$240,$F$65,V$7):INDEX('Business Plan Detailed'!$C$1:$CU$240,$F$65,W$7))</f>
        <v>0</v>
      </c>
    </row>
    <row r="66" spans="1:23" ht="12.75" outlineLevel="2">
      <c r="B66" s="396">
        <v>60</v>
      </c>
      <c r="C66" s="397">
        <v>61</v>
      </c>
      <c r="D66" s="396">
        <v>157</v>
      </c>
      <c r="E66" s="396">
        <v>158</v>
      </c>
      <c r="F66" s="397">
        <v>159</v>
      </c>
      <c r="G66" s="188" t="s">
        <v>220</v>
      </c>
      <c r="H66" s="229"/>
      <c r="I66" s="185">
        <f>SUM(INDEX('Business Plan Detailed'!$C$1:$CU$240,$B$66,H$7):INDEX('Business Plan Detailed'!$C$1:$CU$240,$C$66,I$7),INDEX('Business Plan Detailed'!$C$1:$CU$240,$D$66,H$7):INDEX('Business Plan Detailed'!$C$1:$CU$240,$F$66,I$7))</f>
        <v>13400</v>
      </c>
      <c r="J66" s="229"/>
      <c r="K66" s="185">
        <f>SUM(INDEX('Business Plan Detailed'!$C$1:$CU$240,$B$66,J$7):INDEX('Business Plan Detailed'!$C$1:$CU$240,$C$66,K$7),INDEX('Business Plan Detailed'!$C$1:$CU$240,$D$66,J$7):INDEX('Business Plan Detailed'!$C$1:$CU$240,$F$66,K$7))</f>
        <v>14460</v>
      </c>
      <c r="L66" s="229"/>
      <c r="M66" s="185">
        <f>SUM(INDEX('Business Plan Detailed'!$C$1:$CU$240,$B$66,L$7):INDEX('Business Plan Detailed'!$C$1:$CU$240,$C$66,M$7),INDEX('Business Plan Detailed'!$C$1:$CU$240,$D$66,L$7):INDEX('Business Plan Detailed'!$C$1:$CU$240,$F$66,M$7))</f>
        <v>18760</v>
      </c>
      <c r="N66" s="229"/>
      <c r="O66" s="185">
        <f>SUM(INDEX('Business Plan Detailed'!$C$1:$CU$240,$B$66,N$7):INDEX('Business Plan Detailed'!$C$1:$CU$240,$C$66,O$7),INDEX('Business Plan Detailed'!$C$1:$CU$240,$D$66,N$7):INDEX('Business Plan Detailed'!$C$1:$CU$240,$F$66,O$7))</f>
        <v>22340</v>
      </c>
      <c r="P66" s="229"/>
      <c r="Q66" s="185">
        <f>SUM(INDEX('Business Plan Detailed'!$C$1:$CU$240,$B$66,P$7):INDEX('Business Plan Detailed'!$C$1:$CU$240,$C$66,Q$7),INDEX('Business Plan Detailed'!$C$1:$CU$240,$D$66,P$7):INDEX('Business Plan Detailed'!$C$1:$CU$240,$F$66,Q$7))</f>
        <v>137590</v>
      </c>
      <c r="R66" s="229"/>
      <c r="S66" s="185">
        <f>SUM(INDEX('Business Plan Detailed'!$C$1:$CU$240,$B$66,R$7):INDEX('Business Plan Detailed'!$C$1:$CU$240,$C$66,S$7),INDEX('Business Plan Detailed'!$C$1:$CU$240,$D$66,R$7):INDEX('Business Plan Detailed'!$C$1:$CU$240,$F$66,S$7))</f>
        <v>129130</v>
      </c>
      <c r="T66" s="229"/>
      <c r="U66" s="185">
        <f>SUM(INDEX('Business Plan Detailed'!$C$1:$CU$240,$B$66,T$7):INDEX('Business Plan Detailed'!$C$1:$CU$240,$C$66,U$7),INDEX('Business Plan Detailed'!$C$1:$CU$240,$D$66,T$7):INDEX('Business Plan Detailed'!$C$1:$CU$240,$F$66,U$7))</f>
        <v>183120</v>
      </c>
      <c r="V66" s="229"/>
      <c r="W66" s="185">
        <f>SUM(INDEX('Business Plan Detailed'!$C$1:$CU$240,$B$66,V$7):INDEX('Business Plan Detailed'!$C$1:$CU$240,$C$66,W$7),INDEX('Business Plan Detailed'!$C$1:$CU$240,$D$66,V$7):INDEX('Business Plan Detailed'!$C$1:$CU$240,$F$66,W$7))</f>
        <v>251360</v>
      </c>
    </row>
    <row r="67" spans="1:23" ht="12.75" outlineLevel="2">
      <c r="E67" s="396">
        <v>154</v>
      </c>
      <c r="F67" s="396">
        <v>155</v>
      </c>
      <c r="G67" s="188" t="s">
        <v>221</v>
      </c>
      <c r="H67" s="229"/>
      <c r="I67" s="185">
        <f>SUM(INDEX('Business Plan Detailed'!$C$1:$CU$240,$E$67,H$7):INDEX('Business Plan Detailed'!$C$1:$CU$240,$F$67,I$7))</f>
        <v>11447.409999999998</v>
      </c>
      <c r="J67" s="229"/>
      <c r="K67" s="185">
        <f>SUM(INDEX('Business Plan Detailed'!$C$1:$CU$240,$E$67,J$7):INDEX('Business Plan Detailed'!$C$1:$CU$240,$F$67,K$7))</f>
        <v>13736.891999999998</v>
      </c>
      <c r="L67" s="229"/>
      <c r="M67" s="185">
        <f>SUM(INDEX('Business Plan Detailed'!$C$1:$CU$240,$E$67,L$7):INDEX('Business Plan Detailed'!$C$1:$CU$240,$F$67,M$7))</f>
        <v>2087.0720000000001</v>
      </c>
      <c r="N67" s="229"/>
      <c r="O67" s="185">
        <f>SUM(INDEX('Business Plan Detailed'!$C$1:$CU$240,$E$67,N$7):INDEX('Business Plan Detailed'!$C$1:$CU$240,$F$67,O$7))</f>
        <v>4435.0280000000002</v>
      </c>
      <c r="P67" s="229"/>
      <c r="Q67" s="185">
        <f>SUM(INDEX('Business Plan Detailed'!$C$1:$CU$240,$E$67,P$7):INDEX('Business Plan Detailed'!$C$1:$CU$240,$F$67,Q$7))</f>
        <v>29460.913000000008</v>
      </c>
      <c r="R67" s="229"/>
      <c r="S67" s="185">
        <f>SUM(INDEX('Business Plan Detailed'!$C$1:$CU$240,$E$67,R$7):INDEX('Business Plan Detailed'!$C$1:$CU$240,$F$67,S$7))</f>
        <v>53788.346000000012</v>
      </c>
      <c r="T67" s="229"/>
      <c r="U67" s="185">
        <f>SUM(INDEX('Business Plan Detailed'!$C$1:$CU$240,$E$67,T$7):INDEX('Business Plan Detailed'!$C$1:$CU$240,$F$67,U$7))</f>
        <v>93768.818999999989</v>
      </c>
      <c r="V67" s="229"/>
      <c r="W67" s="185">
        <f>SUM(INDEX('Business Plan Detailed'!$C$1:$CU$240,$E$67,V$7):INDEX('Business Plan Detailed'!$C$1:$CU$240,$F$67,W$7))</f>
        <v>149402.33200000002</v>
      </c>
    </row>
    <row r="68" spans="1:23" ht="15.75" customHeight="1" outlineLevel="2">
      <c r="E68" s="208"/>
      <c r="F68" s="398">
        <v>153</v>
      </c>
      <c r="G68" s="188" t="s">
        <v>131</v>
      </c>
      <c r="H68" s="228"/>
      <c r="I68" s="185">
        <f>SUM(INDEX('Business Plan Detailed'!$C$1:$CU$240,$F$68,H$7):INDEX('Business Plan Detailed'!$C$1:$CU$240,$F$68,I$7))</f>
        <v>0</v>
      </c>
      <c r="J68" s="228"/>
      <c r="K68" s="185">
        <f>SUM(INDEX('Business Plan Detailed'!$C$1:$CU$240,$F$68,J$7):INDEX('Business Plan Detailed'!$C$1:$CU$240,$F$68,K$7))</f>
        <v>2092.6079999999997</v>
      </c>
      <c r="L68" s="228"/>
      <c r="M68" s="185">
        <f>SUM(INDEX('Business Plan Detailed'!$C$1:$CU$240,$F$68,L$7):INDEX('Business Plan Detailed'!$C$1:$CU$240,$F$68,M$7))</f>
        <v>7207.8720000000003</v>
      </c>
      <c r="N68" s="228"/>
      <c r="O68" s="185">
        <f>SUM(INDEX('Business Plan Detailed'!$C$1:$CU$240,$F$68,N$7):INDEX('Business Plan Detailed'!$C$1:$CU$240,$F$68,O$7))</f>
        <v>0</v>
      </c>
      <c r="P68" s="228"/>
      <c r="Q68" s="185">
        <f>SUM(INDEX('Business Plan Detailed'!$C$1:$CU$240,$F$68,P$7):INDEX('Business Plan Detailed'!$C$1:$CU$240,$F$68,Q$7))</f>
        <v>1800</v>
      </c>
      <c r="R68" s="228"/>
      <c r="S68" s="185">
        <f>SUM(INDEX('Business Plan Detailed'!$C$1:$CU$240,$F$68,R$7):INDEX('Business Plan Detailed'!$C$1:$CU$240,$F$68,S$7))</f>
        <v>2400</v>
      </c>
      <c r="T68" s="228"/>
      <c r="U68" s="185">
        <f>SUM(INDEX('Business Plan Detailed'!$C$1:$CU$240,$F$68,T$7):INDEX('Business Plan Detailed'!$C$1:$CU$240,$F$68,U$7))</f>
        <v>2400</v>
      </c>
      <c r="V68" s="228"/>
      <c r="W68" s="185">
        <f>SUM(INDEX('Business Plan Detailed'!$C$1:$CU$240,$F$68,V$7):INDEX('Business Plan Detailed'!$C$1:$CU$240,$F$68,W$7))</f>
        <v>2400</v>
      </c>
    </row>
    <row r="69" spans="1:23" outlineLevel="1">
      <c r="G69" s="192"/>
      <c r="H69" s="229"/>
      <c r="I69" s="193"/>
      <c r="J69" s="229"/>
      <c r="K69" s="193"/>
      <c r="L69" s="229"/>
      <c r="M69" s="193"/>
      <c r="N69" s="229"/>
      <c r="O69" s="193"/>
      <c r="P69" s="229"/>
      <c r="Q69" s="193"/>
      <c r="R69" s="229"/>
      <c r="S69" s="193"/>
      <c r="T69" s="229"/>
      <c r="U69" s="193"/>
      <c r="V69" s="229"/>
      <c r="W69" s="193"/>
    </row>
    <row r="70" spans="1:23" ht="12.75" outlineLevel="1">
      <c r="A70" s="210"/>
      <c r="B70" s="210"/>
      <c r="C70" s="210"/>
      <c r="D70" s="210"/>
      <c r="E70" s="210"/>
      <c r="F70" s="211"/>
      <c r="G70" s="191" t="s">
        <v>222</v>
      </c>
      <c r="H70" s="222"/>
      <c r="I70" s="187">
        <f>SUM(I71:I76)</f>
        <v>92600</v>
      </c>
      <c r="J70" s="222"/>
      <c r="K70" s="187">
        <f>SUM(K71:K76)</f>
        <v>52400</v>
      </c>
      <c r="L70" s="222"/>
      <c r="M70" s="187">
        <f>SUM(M71:M76)</f>
        <v>52400</v>
      </c>
      <c r="N70" s="222"/>
      <c r="O70" s="187">
        <f>SUM(O71:O76)</f>
        <v>65850</v>
      </c>
      <c r="P70" s="222"/>
      <c r="Q70" s="187">
        <f>SUM(Q71:Q76)</f>
        <v>114050</v>
      </c>
      <c r="R70" s="222"/>
      <c r="S70" s="187">
        <f>SUM(S71:S76)</f>
        <v>123000</v>
      </c>
      <c r="T70" s="222"/>
      <c r="U70" s="187">
        <f>SUM(U71:U76)</f>
        <v>131000</v>
      </c>
      <c r="V70" s="222"/>
      <c r="W70" s="187">
        <f>SUM(W71:W76)</f>
        <v>147000</v>
      </c>
    </row>
    <row r="71" spans="1:23" ht="12.75" outlineLevel="2">
      <c r="F71" s="397">
        <v>141</v>
      </c>
      <c r="G71" s="188" t="s">
        <v>223</v>
      </c>
      <c r="H71" s="229"/>
      <c r="I71" s="185">
        <f>SUM(INDEX('Business Plan Detailed'!$C$1:$CU$240,$F$71,H$7):INDEX('Business Plan Detailed'!$C$1:$CU$240,$F$71,I$7))</f>
        <v>1000</v>
      </c>
      <c r="J71" s="229"/>
      <c r="K71" s="185">
        <f>SUM(INDEX('Business Plan Detailed'!$C$1:$CU$240,$F$71,J$7):INDEX('Business Plan Detailed'!$C$1:$CU$240,$F$71,K$7))</f>
        <v>2000</v>
      </c>
      <c r="L71" s="229"/>
      <c r="M71" s="185">
        <f>SUM(INDEX('Business Plan Detailed'!$C$1:$CU$240,$F$71,L$7):INDEX('Business Plan Detailed'!$C$1:$CU$240,$F$71,M$7))</f>
        <v>2000</v>
      </c>
      <c r="N71" s="229"/>
      <c r="O71" s="185">
        <f>SUM(INDEX('Business Plan Detailed'!$C$1:$CU$240,$F$71,N$7):INDEX('Business Plan Detailed'!$C$1:$CU$240,$F$71,O$7))</f>
        <v>2000</v>
      </c>
      <c r="P71" s="229"/>
      <c r="Q71" s="185">
        <f>SUM(INDEX('Business Plan Detailed'!$C$1:$CU$240,$F$71,P$7):INDEX('Business Plan Detailed'!$C$1:$CU$240,$F$71,Q$7))</f>
        <v>2000</v>
      </c>
      <c r="R71" s="229"/>
      <c r="S71" s="185">
        <f>SUM(INDEX('Business Plan Detailed'!$C$1:$CU$240,$F$71,R$7):INDEX('Business Plan Detailed'!$C$1:$CU$240,$F$71,S$7))</f>
        <v>2000</v>
      </c>
      <c r="T71" s="229"/>
      <c r="U71" s="185">
        <f>SUM(INDEX('Business Plan Detailed'!$C$1:$CU$240,$F$71,T$7):INDEX('Business Plan Detailed'!$C$1:$CU$240,$F$71,U$7))</f>
        <v>2000</v>
      </c>
      <c r="V71" s="229"/>
      <c r="W71" s="185">
        <f>SUM(INDEX('Business Plan Detailed'!$C$1:$CU$240,$F$71,V$7):INDEX('Business Plan Detailed'!$C$1:$CU$240,$F$71,W$7))</f>
        <v>2000</v>
      </c>
    </row>
    <row r="72" spans="1:23" ht="12.75" outlineLevel="2">
      <c r="F72" s="397">
        <v>142</v>
      </c>
      <c r="G72" s="188" t="s">
        <v>84</v>
      </c>
      <c r="H72" s="229"/>
      <c r="I72" s="185">
        <f>SUM(INDEX('Business Plan Detailed'!$C$1:$CU$240,$F$72,H$7):INDEX('Business Plan Detailed'!$C$1:$CU$240,$F$72,I$7))</f>
        <v>10000</v>
      </c>
      <c r="J72" s="229"/>
      <c r="K72" s="185">
        <f>SUM(INDEX('Business Plan Detailed'!$C$1:$CU$240,$F$72,J$7):INDEX('Business Plan Detailed'!$C$1:$CU$240,$F$72,K$7))</f>
        <v>25000</v>
      </c>
      <c r="L72" s="229"/>
      <c r="M72" s="185">
        <f>SUM(INDEX('Business Plan Detailed'!$C$1:$CU$240,$F$72,L$7):INDEX('Business Plan Detailed'!$C$1:$CU$240,$F$72,M$7))</f>
        <v>25000</v>
      </c>
      <c r="N72" s="229"/>
      <c r="O72" s="185">
        <f>SUM(INDEX('Business Plan Detailed'!$C$1:$CU$240,$F$72,N$7):INDEX('Business Plan Detailed'!$C$1:$CU$240,$F$72,O$7))</f>
        <v>25000</v>
      </c>
      <c r="P72" s="229"/>
      <c r="Q72" s="185">
        <f>SUM(INDEX('Business Plan Detailed'!$C$1:$CU$240,$F$72,P$7):INDEX('Business Plan Detailed'!$C$1:$CU$240,$F$72,Q$7))</f>
        <v>50000</v>
      </c>
      <c r="R72" s="229"/>
      <c r="S72" s="185">
        <f>SUM(INDEX('Business Plan Detailed'!$C$1:$CU$240,$F$72,R$7):INDEX('Business Plan Detailed'!$C$1:$CU$240,$F$72,S$7))</f>
        <v>50000</v>
      </c>
      <c r="T72" s="229"/>
      <c r="U72" s="185">
        <f>SUM(INDEX('Business Plan Detailed'!$C$1:$CU$240,$F$72,T$7):INDEX('Business Plan Detailed'!$C$1:$CU$240,$F$72,U$7))</f>
        <v>50000</v>
      </c>
      <c r="V72" s="229"/>
      <c r="W72" s="185">
        <f>SUM(INDEX('Business Plan Detailed'!$C$1:$CU$240,$F$72,V$7):INDEX('Business Plan Detailed'!$C$1:$CU$240,$F$72,W$7))</f>
        <v>50000</v>
      </c>
    </row>
    <row r="73" spans="1:23" ht="12.75" outlineLevel="2">
      <c r="E73" s="396">
        <v>144</v>
      </c>
      <c r="F73" s="397">
        <v>145</v>
      </c>
      <c r="G73" s="188" t="s">
        <v>224</v>
      </c>
      <c r="H73" s="229"/>
      <c r="I73" s="185">
        <f>SUM(INDEX('Business Plan Detailed'!$C$1:$CU$240,$E$73,H$7):INDEX('Business Plan Detailed'!$C$1:$CU$240,$F$73,I$7))</f>
        <v>3600</v>
      </c>
      <c r="J73" s="229"/>
      <c r="K73" s="185">
        <f>SUM(INDEX('Business Plan Detailed'!$C$1:$CU$240,$E$73,J$7):INDEX('Business Plan Detailed'!$C$1:$CU$240,$F$73,K$7))</f>
        <v>3600</v>
      </c>
      <c r="L73" s="229"/>
      <c r="M73" s="185">
        <f>SUM(INDEX('Business Plan Detailed'!$C$1:$CU$240,$E$73,L$7):INDEX('Business Plan Detailed'!$C$1:$CU$240,$F$73,M$7))</f>
        <v>3600</v>
      </c>
      <c r="N73" s="229"/>
      <c r="O73" s="185">
        <f>SUM(INDEX('Business Plan Detailed'!$C$1:$CU$240,$E$73,N$7):INDEX('Business Plan Detailed'!$C$1:$CU$240,$F$73,O$7))</f>
        <v>3600</v>
      </c>
      <c r="P73" s="229"/>
      <c r="Q73" s="185">
        <f>SUM(INDEX('Business Plan Detailed'!$C$1:$CU$240,$E$73,P$7):INDEX('Business Plan Detailed'!$C$1:$CU$240,$F$73,Q$7))</f>
        <v>18450</v>
      </c>
      <c r="R73" s="229"/>
      <c r="S73" s="185">
        <f>SUM(INDEX('Business Plan Detailed'!$C$1:$CU$240,$E$73,R$7):INDEX('Business Plan Detailed'!$C$1:$CU$240,$F$73,S$7))</f>
        <v>23400</v>
      </c>
      <c r="T73" s="229"/>
      <c r="U73" s="185">
        <f>SUM(INDEX('Business Plan Detailed'!$C$1:$CU$240,$E$73,T$7):INDEX('Business Plan Detailed'!$C$1:$CU$240,$F$73,U$7))</f>
        <v>23400</v>
      </c>
      <c r="V73" s="229"/>
      <c r="W73" s="185">
        <f>SUM(INDEX('Business Plan Detailed'!$C$1:$CU$240,$E$73,V$7):INDEX('Business Plan Detailed'!$C$1:$CU$240,$F$73,W$7))</f>
        <v>23400</v>
      </c>
    </row>
    <row r="74" spans="1:23" ht="12.75" outlineLevel="2">
      <c r="F74" s="397">
        <v>146</v>
      </c>
      <c r="G74" s="188" t="s">
        <v>30</v>
      </c>
      <c r="H74" s="229"/>
      <c r="I74" s="185">
        <f>SUM(INDEX('Business Plan Detailed'!$C$1:$CU$240,$F$74,H$7):INDEX('Business Plan Detailed'!$C$1:$CU$240,$F$74,I$7))</f>
        <v>0</v>
      </c>
      <c r="J74" s="229"/>
      <c r="K74" s="185">
        <f>SUM(INDEX('Business Plan Detailed'!$C$1:$CU$240,$F$74,J$7):INDEX('Business Plan Detailed'!$C$1:$CU$240,$F$74,K$7))</f>
        <v>1800</v>
      </c>
      <c r="L74" s="229"/>
      <c r="M74" s="185">
        <f>SUM(INDEX('Business Plan Detailed'!$C$1:$CU$240,$F$74,L$7):INDEX('Business Plan Detailed'!$C$1:$CU$240,$F$74,M$7))</f>
        <v>1800</v>
      </c>
      <c r="N74" s="229"/>
      <c r="O74" s="185">
        <f>SUM(INDEX('Business Plan Detailed'!$C$1:$CU$240,$F$74,N$7):INDEX('Business Plan Detailed'!$C$1:$CU$240,$F$74,O$7))</f>
        <v>2250</v>
      </c>
      <c r="P74" s="229"/>
      <c r="Q74" s="185">
        <f>SUM(INDEX('Business Plan Detailed'!$C$1:$CU$240,$F$74,P$7):INDEX('Business Plan Detailed'!$C$1:$CU$240,$F$74,Q$7))</f>
        <v>3600</v>
      </c>
      <c r="R74" s="229"/>
      <c r="S74" s="185">
        <f>SUM(INDEX('Business Plan Detailed'!$C$1:$CU$240,$F$74,R$7):INDEX('Business Plan Detailed'!$C$1:$CU$240,$F$74,S$7))</f>
        <v>3600</v>
      </c>
      <c r="T74" s="229"/>
      <c r="U74" s="185">
        <f>SUM(INDEX('Business Plan Detailed'!$C$1:$CU$240,$F$74,T$7):INDEX('Business Plan Detailed'!$C$1:$CU$240,$F$74,U$7))</f>
        <v>3600</v>
      </c>
      <c r="V74" s="229"/>
      <c r="W74" s="185">
        <f>SUM(INDEX('Business Plan Detailed'!$C$1:$CU$240,$F$74,V$7):INDEX('Business Plan Detailed'!$C$1:$CU$240,$F$74,W$7))</f>
        <v>3600</v>
      </c>
    </row>
    <row r="75" spans="1:23" ht="12.75" outlineLevel="2">
      <c r="F75" s="397">
        <v>148</v>
      </c>
      <c r="G75" s="188" t="s">
        <v>225</v>
      </c>
      <c r="H75" s="229"/>
      <c r="I75" s="185">
        <f>SUM(INDEX('Business Plan Detailed'!$C$1:$CU$240,$F$75,H$7):INDEX('Business Plan Detailed'!$C$1:$CU$240,$F$75,I$7))</f>
        <v>18000</v>
      </c>
      <c r="J75" s="229"/>
      <c r="K75" s="185">
        <f>SUM(INDEX('Business Plan Detailed'!$C$1:$CU$240,$F$75,J$7):INDEX('Business Plan Detailed'!$C$1:$CU$240,$F$75,K$7))</f>
        <v>18000</v>
      </c>
      <c r="L75" s="229"/>
      <c r="M75" s="185">
        <f>SUM(INDEX('Business Plan Detailed'!$C$1:$CU$240,$F$75,L$7):INDEX('Business Plan Detailed'!$C$1:$CU$240,$F$75,M$7))</f>
        <v>18000</v>
      </c>
      <c r="N75" s="229"/>
      <c r="O75" s="185">
        <f>SUM(INDEX('Business Plan Detailed'!$C$1:$CU$240,$F$75,N$7):INDEX('Business Plan Detailed'!$C$1:$CU$240,$F$75,O$7))</f>
        <v>31000</v>
      </c>
      <c r="P75" s="229"/>
      <c r="Q75" s="185">
        <f>SUM(INDEX('Business Plan Detailed'!$C$1:$CU$240,$F$75,P$7):INDEX('Business Plan Detailed'!$C$1:$CU$240,$F$75,Q$7))</f>
        <v>36000</v>
      </c>
      <c r="R75" s="229"/>
      <c r="S75" s="185">
        <f>SUM(INDEX('Business Plan Detailed'!$C$1:$CU$240,$F$75,R$7):INDEX('Business Plan Detailed'!$C$1:$CU$240,$F$75,S$7))</f>
        <v>36000</v>
      </c>
      <c r="T75" s="229"/>
      <c r="U75" s="185">
        <f>SUM(INDEX('Business Plan Detailed'!$C$1:$CU$240,$F$75,T$7):INDEX('Business Plan Detailed'!$C$1:$CU$240,$F$75,U$7))</f>
        <v>36000</v>
      </c>
      <c r="V75" s="229"/>
      <c r="W75" s="185">
        <f>SUM(INDEX('Business Plan Detailed'!$C$1:$CU$240,$F$75,V$7):INDEX('Business Plan Detailed'!$C$1:$CU$240,$F$75,W$7))</f>
        <v>36000</v>
      </c>
    </row>
    <row r="76" spans="1:23" ht="12.75" outlineLevel="2">
      <c r="F76" s="397">
        <v>149</v>
      </c>
      <c r="G76" s="188" t="s">
        <v>226</v>
      </c>
      <c r="H76" s="229"/>
      <c r="I76" s="185">
        <f>SUM(INDEX('Business Plan Detailed'!$C$1:$CU$240,$F$76,H$7):INDEX('Business Plan Detailed'!$C$1:$CU$240,$F$76,I$7))</f>
        <v>60000</v>
      </c>
      <c r="J76" s="229"/>
      <c r="K76" s="185">
        <f>SUM(INDEX('Business Plan Detailed'!$C$1:$CU$240,$F$76,J$7):INDEX('Business Plan Detailed'!$C$1:$CU$240,$F$76,K$7))</f>
        <v>2000</v>
      </c>
      <c r="L76" s="229"/>
      <c r="M76" s="185">
        <f>SUM(INDEX('Business Plan Detailed'!$C$1:$CU$240,$F$76,L$7):INDEX('Business Plan Detailed'!$C$1:$CU$240,$F$76,M$7))</f>
        <v>2000</v>
      </c>
      <c r="N76" s="229"/>
      <c r="O76" s="185">
        <f>SUM(INDEX('Business Plan Detailed'!$C$1:$CU$240,$F$76,N$7):INDEX('Business Plan Detailed'!$C$1:$CU$240,$F$76,O$7))</f>
        <v>2000</v>
      </c>
      <c r="P76" s="229"/>
      <c r="Q76" s="185">
        <f>SUM(INDEX('Business Plan Detailed'!$C$1:$CU$240,$F$76,P$7):INDEX('Business Plan Detailed'!$C$1:$CU$240,$F$76,Q$7))</f>
        <v>4000</v>
      </c>
      <c r="R76" s="229"/>
      <c r="S76" s="185">
        <f>SUM(INDEX('Business Plan Detailed'!$C$1:$CU$240,$F$76,R$7):INDEX('Business Plan Detailed'!$C$1:$CU$240,$F$76,S$7))</f>
        <v>8000</v>
      </c>
      <c r="T76" s="229"/>
      <c r="U76" s="185">
        <f>SUM(INDEX('Business Plan Detailed'!$C$1:$CU$240,$F$76,T$7):INDEX('Business Plan Detailed'!$C$1:$CU$240,$F$76,U$7))</f>
        <v>16000</v>
      </c>
      <c r="V76" s="229"/>
      <c r="W76" s="185">
        <f>SUM(INDEX('Business Plan Detailed'!$C$1:$CU$240,$F$76,V$7):INDEX('Business Plan Detailed'!$C$1:$CU$240,$F$76,W$7))</f>
        <v>32000</v>
      </c>
    </row>
    <row r="77" spans="1:23" outlineLevel="1">
      <c r="G77" s="192"/>
      <c r="H77" s="229"/>
      <c r="I77" s="193"/>
      <c r="J77" s="229"/>
      <c r="K77" s="193"/>
      <c r="L77" s="229"/>
      <c r="M77" s="193"/>
      <c r="N77" s="229"/>
      <c r="O77" s="193"/>
      <c r="P77" s="229"/>
      <c r="Q77" s="193"/>
      <c r="R77" s="229"/>
      <c r="S77" s="193"/>
      <c r="T77" s="229"/>
      <c r="U77" s="193"/>
      <c r="V77" s="229"/>
      <c r="W77" s="193"/>
    </row>
    <row r="78" spans="1:23" ht="12.75" outlineLevel="1">
      <c r="A78" s="210"/>
      <c r="B78" s="210"/>
      <c r="C78" s="210"/>
      <c r="D78" s="210"/>
      <c r="E78" s="210"/>
      <c r="F78" s="211"/>
      <c r="G78" s="191" t="s">
        <v>227</v>
      </c>
      <c r="H78" s="222"/>
      <c r="I78" s="187">
        <f>SUM(I79:I83)</f>
        <v>78400</v>
      </c>
      <c r="J78" s="222"/>
      <c r="K78" s="187">
        <f>SUM(K79:K83)</f>
        <v>79600</v>
      </c>
      <c r="L78" s="222"/>
      <c r="M78" s="187">
        <f>SUM(M79:M83)</f>
        <v>109600</v>
      </c>
      <c r="N78" s="222"/>
      <c r="O78" s="187">
        <f>SUM(O79:O83)</f>
        <v>109600</v>
      </c>
      <c r="P78" s="222"/>
      <c r="Q78" s="187">
        <f>SUM(Q79:Q83)</f>
        <v>214050</v>
      </c>
      <c r="R78" s="222"/>
      <c r="S78" s="187">
        <f>SUM(S79:S83)</f>
        <v>268400</v>
      </c>
      <c r="T78" s="222"/>
      <c r="U78" s="187">
        <f>SUM(U79:U83)</f>
        <v>280700</v>
      </c>
      <c r="V78" s="222"/>
      <c r="W78" s="187">
        <f>SUM(W79:W83)</f>
        <v>180350</v>
      </c>
    </row>
    <row r="79" spans="1:23" ht="12.75" outlineLevel="2">
      <c r="D79" s="396">
        <v>77</v>
      </c>
      <c r="E79" s="396">
        <v>143</v>
      </c>
      <c r="F79" s="397">
        <v>65</v>
      </c>
      <c r="G79" s="188" t="s">
        <v>228</v>
      </c>
      <c r="H79" s="229"/>
      <c r="I79" s="185">
        <f>SUM(INDEX('Business Plan Detailed'!$C$1:$CU$240,$E$79,H$7):INDEX('Business Plan Detailed'!$C$1:$CU$240,$E$79,I$7),INDEX('Business Plan Detailed'!$C$1:$CU$240,$D$79,H$7):INDEX('Business Plan Detailed'!$C$1:$CU$240,$D$79,I$7),INDEX('Business Plan Detailed'!$C$1:$CU$240,$F$79,H$7):INDEX('Business Plan Detailed'!$C$1:$CU$240,$F$79,I$7))</f>
        <v>17100</v>
      </c>
      <c r="J79" s="229"/>
      <c r="K79" s="185">
        <f>SUM(INDEX('Business Plan Detailed'!$C$1:$CU$240,$E$79,J$7):INDEX('Business Plan Detailed'!$C$1:$CU$240,$E$79,K$7),INDEX('Business Plan Detailed'!$C$1:$CU$240,$D$79,J$7):INDEX('Business Plan Detailed'!$C$1:$CU$240,$D$79,K$7),INDEX('Business Plan Detailed'!$C$1:$CU$240,$F$79,J$7):INDEX('Business Plan Detailed'!$C$1:$CU$240,$F$79,K$7))</f>
        <v>4200</v>
      </c>
      <c r="L79" s="229"/>
      <c r="M79" s="185">
        <f>SUM(INDEX('Business Plan Detailed'!$C$1:$CU$240,$E$79,L$7):INDEX('Business Plan Detailed'!$C$1:$CU$240,$E$79,M$7),INDEX('Business Plan Detailed'!$C$1:$CU$240,$D$79,L$7):INDEX('Business Plan Detailed'!$C$1:$CU$240,$D$79,M$7),INDEX('Business Plan Detailed'!$C$1:$CU$240,$F$79,L$7):INDEX('Business Plan Detailed'!$C$1:$CU$240,$F$79,M$7))</f>
        <v>4200</v>
      </c>
      <c r="N79" s="229"/>
      <c r="O79" s="185">
        <f>SUM(INDEX('Business Plan Detailed'!$C$1:$CU$240,$E$79,N$7):INDEX('Business Plan Detailed'!$C$1:$CU$240,$E$79,O$7),INDEX('Business Plan Detailed'!$C$1:$CU$240,$D$79,N$7):INDEX('Business Plan Detailed'!$C$1:$CU$240,$D$79,O$7),INDEX('Business Plan Detailed'!$C$1:$CU$240,$F$79,N$7):INDEX('Business Plan Detailed'!$C$1:$CU$240,$F$79,O$7))</f>
        <v>4200</v>
      </c>
      <c r="P79" s="229"/>
      <c r="Q79" s="185">
        <f>SUM(INDEX('Business Plan Detailed'!$C$1:$CU$240,$E$79,P$7):INDEX('Business Plan Detailed'!$C$1:$CU$240,$E$79,Q$7),INDEX('Business Plan Detailed'!$C$1:$CU$240,$D$79,P$7):INDEX('Business Plan Detailed'!$C$1:$CU$240,$D$79,Q$7),INDEX('Business Plan Detailed'!$C$1:$CU$240,$F$79,P$7):INDEX('Business Plan Detailed'!$C$1:$CU$240,$F$79,Q$7))</f>
        <v>36050</v>
      </c>
      <c r="R79" s="229"/>
      <c r="S79" s="185">
        <f>SUM(INDEX('Business Plan Detailed'!$C$1:$CU$240,$E$79,R$7):INDEX('Business Plan Detailed'!$C$1:$CU$240,$E$79,S$7),INDEX('Business Plan Detailed'!$C$1:$CU$240,$D$79,R$7):INDEX('Business Plan Detailed'!$C$1:$CU$240,$D$79,S$7),INDEX('Business Plan Detailed'!$C$1:$CU$240,$F$79,R$7):INDEX('Business Plan Detailed'!$C$1:$CU$240,$F$79,S$7))</f>
        <v>27600</v>
      </c>
      <c r="T79" s="229"/>
      <c r="U79" s="185">
        <f>SUM(INDEX('Business Plan Detailed'!$C$1:$CU$240,$E$79,T$7):INDEX('Business Plan Detailed'!$C$1:$CU$240,$E$79,U$7),INDEX('Business Plan Detailed'!$C$1:$CU$240,$D$79,T$7):INDEX('Business Plan Detailed'!$C$1:$CU$240,$D$79,U$7),INDEX('Business Plan Detailed'!$C$1:$CU$240,$F$79,T$7):INDEX('Business Plan Detailed'!$C$1:$CU$240,$F$79,U$7))</f>
        <v>33900</v>
      </c>
      <c r="V79" s="229"/>
      <c r="W79" s="185">
        <f>SUM(INDEX('Business Plan Detailed'!$C$1:$CU$240,$E$79,V$7):INDEX('Business Plan Detailed'!$C$1:$CU$240,$E$79,W$7),INDEX('Business Plan Detailed'!$C$1:$CU$240,$D$79,V$7):INDEX('Business Plan Detailed'!$C$1:$CU$240,$D$79,W$7),INDEX('Business Plan Detailed'!$C$1:$CU$240,$F$79,V$7):INDEX('Business Plan Detailed'!$C$1:$CU$240,$F$79,W$7))</f>
        <v>40550</v>
      </c>
    </row>
    <row r="80" spans="1:23" ht="12.75" outlineLevel="2">
      <c r="E80" s="396">
        <v>81</v>
      </c>
      <c r="F80" s="397">
        <v>66</v>
      </c>
      <c r="G80" s="188" t="s">
        <v>54</v>
      </c>
      <c r="H80" s="229"/>
      <c r="I80" s="185">
        <f>SUM(INDEX('Business Plan Detailed'!$C$1:$CU$240,$E$80,H$7):INDEX('Business Plan Detailed'!$C$1:$CU$240,$E$80,I$7),INDEX('Business Plan Detailed'!$C$1:$CU$240,$F$80,H$7):INDEX('Business Plan Detailed'!$C$1:$CU$240,$F$80,I$7))</f>
        <v>1000</v>
      </c>
      <c r="J80" s="229"/>
      <c r="K80" s="185">
        <f>SUM(INDEX('Business Plan Detailed'!$C$1:$CU$240,$E$80,J$7):INDEX('Business Plan Detailed'!$C$1:$CU$240,$E$80,K$7),INDEX('Business Plan Detailed'!$C$1:$CU$240,$F$80,J$7):INDEX('Business Plan Detailed'!$C$1:$CU$240,$F$80,K$7))</f>
        <v>1000</v>
      </c>
      <c r="L80" s="229"/>
      <c r="M80" s="185">
        <f>SUM(INDEX('Business Plan Detailed'!$C$1:$CU$240,$E$80,L$7):INDEX('Business Plan Detailed'!$C$1:$CU$240,$E$80,M$7),INDEX('Business Plan Detailed'!$C$1:$CU$240,$F$80,L$7):INDEX('Business Plan Detailed'!$C$1:$CU$240,$F$80,M$7))</f>
        <v>1000</v>
      </c>
      <c r="N80" s="229"/>
      <c r="O80" s="185">
        <f>SUM(INDEX('Business Plan Detailed'!$C$1:$CU$240,$E$80,N$7):INDEX('Business Plan Detailed'!$C$1:$CU$240,$E$80,O$7),INDEX('Business Plan Detailed'!$C$1:$CU$240,$F$80,N$7):INDEX('Business Plan Detailed'!$C$1:$CU$240,$F$80,O$7))</f>
        <v>1000</v>
      </c>
      <c r="P80" s="229"/>
      <c r="Q80" s="185">
        <f>SUM(INDEX('Business Plan Detailed'!$C$1:$CU$240,$E$80,P$7):INDEX('Business Plan Detailed'!$C$1:$CU$240,$E$80,Q$7),INDEX('Business Plan Detailed'!$C$1:$CU$240,$F$80,P$7):INDEX('Business Plan Detailed'!$C$1:$CU$240,$F$80,Q$7))</f>
        <v>2000</v>
      </c>
      <c r="R80" s="229"/>
      <c r="S80" s="185">
        <f>SUM(INDEX('Business Plan Detailed'!$C$1:$CU$240,$E$80,R$7):INDEX('Business Plan Detailed'!$C$1:$CU$240,$E$80,S$7),INDEX('Business Plan Detailed'!$C$1:$CU$240,$F$80,R$7):INDEX('Business Plan Detailed'!$C$1:$CU$240,$F$80,S$7))</f>
        <v>4000</v>
      </c>
      <c r="T80" s="229"/>
      <c r="U80" s="185">
        <f>SUM(INDEX('Business Plan Detailed'!$C$1:$CU$240,$E$80,T$7):INDEX('Business Plan Detailed'!$C$1:$CU$240,$E$80,U$7),INDEX('Business Plan Detailed'!$C$1:$CU$240,$F$80,T$7):INDEX('Business Plan Detailed'!$C$1:$CU$240,$F$80,U$7))</f>
        <v>4000</v>
      </c>
      <c r="V80" s="229"/>
      <c r="W80" s="185">
        <f>SUM(INDEX('Business Plan Detailed'!$C$1:$CU$240,$E$80,V$7):INDEX('Business Plan Detailed'!$C$1:$CU$240,$E$80,W$7),INDEX('Business Plan Detailed'!$C$1:$CU$240,$F$80,V$7):INDEX('Business Plan Detailed'!$C$1:$CU$240,$F$80,W$7))</f>
        <v>3000</v>
      </c>
    </row>
    <row r="81" spans="3:23" ht="12.75" outlineLevel="2">
      <c r="F81" s="397">
        <v>161</v>
      </c>
      <c r="G81" s="188" t="s">
        <v>229</v>
      </c>
      <c r="H81" s="229"/>
      <c r="I81" s="185">
        <f>SUM(INDEX('Business Plan Detailed'!$C$1:$CU$240,$F$81,H$7):INDEX('Business Plan Detailed'!$C$1:$CU$240,$F$81,I$7))</f>
        <v>1900</v>
      </c>
      <c r="J81" s="229"/>
      <c r="K81" s="185">
        <f>SUM(INDEX('Business Plan Detailed'!$C$1:$CU$240,$F$81,J$7):INDEX('Business Plan Detailed'!$C$1:$CU$240,$F$81,K$7))</f>
        <v>2400</v>
      </c>
      <c r="L81" s="229"/>
      <c r="M81" s="185">
        <f>SUM(INDEX('Business Plan Detailed'!$C$1:$CU$240,$F$81,L$7):INDEX('Business Plan Detailed'!$C$1:$CU$240,$F$81,M$7))</f>
        <v>2400</v>
      </c>
      <c r="N81" s="229"/>
      <c r="O81" s="185">
        <f>SUM(INDEX('Business Plan Detailed'!$C$1:$CU$240,$F$81,N$7):INDEX('Business Plan Detailed'!$C$1:$CU$240,$F$81,O$7))</f>
        <v>2400</v>
      </c>
      <c r="P81" s="229"/>
      <c r="Q81" s="185">
        <f>SUM(INDEX('Business Plan Detailed'!$C$1:$CU$240,$F$81,P$7):INDEX('Business Plan Detailed'!$C$1:$CU$240,$F$81,Q$7))</f>
        <v>3600</v>
      </c>
      <c r="R81" s="229"/>
      <c r="S81" s="185">
        <f>SUM(INDEX('Business Plan Detailed'!$C$1:$CU$240,$F$81,R$7):INDEX('Business Plan Detailed'!$C$1:$CU$240,$F$81,S$7))</f>
        <v>3600</v>
      </c>
      <c r="T81" s="229"/>
      <c r="U81" s="185">
        <f>SUM(INDEX('Business Plan Detailed'!$C$1:$CU$240,$F$81,T$7):INDEX('Business Plan Detailed'!$C$1:$CU$240,$F$81,U$7))</f>
        <v>3600</v>
      </c>
      <c r="V81" s="229"/>
      <c r="W81" s="185">
        <f>SUM(INDEX('Business Plan Detailed'!$C$1:$CU$240,$F$81,V$7):INDEX('Business Plan Detailed'!$C$1:$CU$240,$F$81,W$7))</f>
        <v>3600</v>
      </c>
    </row>
    <row r="82" spans="3:23" ht="12.75" outlineLevel="2">
      <c r="F82" s="397">
        <v>152</v>
      </c>
      <c r="G82" s="188" t="s">
        <v>132</v>
      </c>
      <c r="H82" s="229"/>
      <c r="I82" s="185">
        <f>SUM(INDEX('Business Plan Detailed'!$C$1:$CU$240,$F$82,H$7):INDEX('Business Plan Detailed'!$C$1:$CU$240,$F$82,I$7))</f>
        <v>5000</v>
      </c>
      <c r="J82" s="229"/>
      <c r="K82" s="185">
        <f>SUM(INDEX('Business Plan Detailed'!$C$1:$CU$240,$F$82,J$7):INDEX('Business Plan Detailed'!$C$1:$CU$240,$F$82,K$7))</f>
        <v>11000</v>
      </c>
      <c r="L82" s="229"/>
      <c r="M82" s="185">
        <f>SUM(INDEX('Business Plan Detailed'!$C$1:$CU$240,$F$82,L$7):INDEX('Business Plan Detailed'!$C$1:$CU$240,$F$82,M$7))</f>
        <v>41000</v>
      </c>
      <c r="N82" s="229"/>
      <c r="O82" s="185">
        <f>SUM(INDEX('Business Plan Detailed'!$C$1:$CU$240,$F$82,N$7):INDEX('Business Plan Detailed'!$C$1:$CU$240,$F$82,O$7))</f>
        <v>37200</v>
      </c>
      <c r="P82" s="229"/>
      <c r="Q82" s="185">
        <f>SUM(INDEX('Business Plan Detailed'!$C$1:$CU$240,$F$82,P$7):INDEX('Business Plan Detailed'!$C$1:$CU$240,$F$82,Q$7))</f>
        <v>43200</v>
      </c>
      <c r="R82" s="229"/>
      <c r="S82" s="185">
        <f>SUM(INDEX('Business Plan Detailed'!$C$1:$CU$240,$F$82,R$7):INDEX('Business Plan Detailed'!$C$1:$CU$240,$F$82,S$7))</f>
        <v>43200</v>
      </c>
      <c r="T82" s="229"/>
      <c r="U82" s="185">
        <f>SUM(INDEX('Business Plan Detailed'!$C$1:$CU$240,$F$82,T$7):INDEX('Business Plan Detailed'!$C$1:$CU$240,$F$82,U$7))</f>
        <v>43200</v>
      </c>
      <c r="V82" s="229"/>
      <c r="W82" s="185">
        <f>SUM(INDEX('Business Plan Detailed'!$C$1:$CU$240,$F$82,V$7):INDEX('Business Plan Detailed'!$C$1:$CU$240,$F$82,W$7))</f>
        <v>43200</v>
      </c>
    </row>
    <row r="83" spans="3:23" ht="12.75" outlineLevel="2">
      <c r="C83" s="396">
        <v>162</v>
      </c>
      <c r="D83" s="396">
        <v>160</v>
      </c>
      <c r="E83" s="396">
        <v>156</v>
      </c>
      <c r="G83" s="194" t="s">
        <v>217</v>
      </c>
      <c r="H83" s="230"/>
      <c r="I83" s="195">
        <f>SUM(INDEX('Business Plan Detailed'!$C$1:$CU$240,$E$83,H$7):INDEX('Business Plan Detailed'!$C$1:$CU$240,$E$83,I$7),INDEX('Business Plan Detailed'!$C$1:$CU$240,$D$83,H$7):INDEX('Business Plan Detailed'!$C$1:$CU$240,$D$83,I$7),INDEX('Business Plan Detailed'!$C$1:$CU$240,$C$83,H$7):INDEX('Business Plan Detailed'!$C$1:$CU$240,$C$83,I$7))</f>
        <v>53400</v>
      </c>
      <c r="J83" s="230"/>
      <c r="K83" s="195">
        <f>SUM(INDEX('Business Plan Detailed'!$C$1:$CU$240,$E$83,J$7):INDEX('Business Plan Detailed'!$C$1:$CU$240,$E$83,K$7),INDEX('Business Plan Detailed'!$C$1:$CU$240,$D$83,J$7):INDEX('Business Plan Detailed'!$C$1:$CU$240,$D$83,K$7),INDEX('Business Plan Detailed'!$C$1:$CU$240,$C$83,J$7):INDEX('Business Plan Detailed'!$C$1:$CU$240,$C$83,K$7))</f>
        <v>61000</v>
      </c>
      <c r="L83" s="230"/>
      <c r="M83" s="195">
        <f>SUM(INDEX('Business Plan Detailed'!$C$1:$CU$240,$E$83,L$7):INDEX('Business Plan Detailed'!$C$1:$CU$240,$E$83,M$7),INDEX('Business Plan Detailed'!$C$1:$CU$240,$D$83,L$7):INDEX('Business Plan Detailed'!$C$1:$CU$240,$D$83,M$7),INDEX('Business Plan Detailed'!$C$1:$CU$240,$C$83,L$7):INDEX('Business Plan Detailed'!$C$1:$CU$240,$C$83,M$7))</f>
        <v>61000</v>
      </c>
      <c r="N83" s="230"/>
      <c r="O83" s="195">
        <f>SUM(INDEX('Business Plan Detailed'!$C$1:$CU$240,$E$83,N$7):INDEX('Business Plan Detailed'!$C$1:$CU$240,$E$83,O$7),INDEX('Business Plan Detailed'!$C$1:$CU$240,$D$83,N$7):INDEX('Business Plan Detailed'!$C$1:$CU$240,$D$83,O$7),INDEX('Business Plan Detailed'!$C$1:$CU$240,$C$83,N$7):INDEX('Business Plan Detailed'!$C$1:$CU$240,$C$83,O$7))</f>
        <v>64800</v>
      </c>
      <c r="P83" s="230"/>
      <c r="Q83" s="195">
        <f>SUM(INDEX('Business Plan Detailed'!$C$1:$CU$240,$E$83,P$7):INDEX('Business Plan Detailed'!$C$1:$CU$240,$E$83,Q$7),INDEX('Business Plan Detailed'!$C$1:$CU$240,$D$83,P$7):INDEX('Business Plan Detailed'!$C$1:$CU$240,$D$83,Q$7),INDEX('Business Plan Detailed'!$C$1:$CU$240,$C$83,P$7):INDEX('Business Plan Detailed'!$C$1:$CU$240,$C$83,Q$7))</f>
        <v>129200</v>
      </c>
      <c r="R83" s="230"/>
      <c r="S83" s="195">
        <f>SUM(INDEX('Business Plan Detailed'!$C$1:$CU$240,$E$83,R$7):INDEX('Business Plan Detailed'!$C$1:$CU$240,$E$83,S$7),INDEX('Business Plan Detailed'!$C$1:$CU$240,$D$83,R$7):INDEX('Business Plan Detailed'!$C$1:$CU$240,$D$83,S$7),INDEX('Business Plan Detailed'!$C$1:$CU$240,$C$83,R$7):INDEX('Business Plan Detailed'!$C$1:$CU$240,$C$83,S$7))</f>
        <v>190000</v>
      </c>
      <c r="T83" s="230"/>
      <c r="U83" s="195">
        <f>SUM(INDEX('Business Plan Detailed'!$C$1:$CU$240,$E$83,T$7):INDEX('Business Plan Detailed'!$C$1:$CU$240,$E$83,U$7),INDEX('Business Plan Detailed'!$C$1:$CU$240,$D$83,T$7):INDEX('Business Plan Detailed'!$C$1:$CU$240,$D$83,U$7),INDEX('Business Plan Detailed'!$C$1:$CU$240,$C$83,T$7):INDEX('Business Plan Detailed'!$C$1:$CU$240,$C$83,U$7))</f>
        <v>196000</v>
      </c>
      <c r="V83" s="230"/>
      <c r="W83" s="195">
        <f>SUM(INDEX('Business Plan Detailed'!$C$1:$CU$240,$E$83,V$7):INDEX('Business Plan Detailed'!$C$1:$CU$240,$E$83,W$7),INDEX('Business Plan Detailed'!$C$1:$CU$240,$D$83,V$7):INDEX('Business Plan Detailed'!$C$1:$CU$240,$D$83,W$7),INDEX('Business Plan Detailed'!$C$1:$CU$240,$C$83,V$7):INDEX('Business Plan Detailed'!$C$1:$CU$240,$C$83,W$7))</f>
        <v>90000</v>
      </c>
    </row>
    <row r="84" spans="3:23" ht="15.75" thickBot="1"/>
    <row r="85" spans="3:23" ht="15.75" thickBot="1">
      <c r="I85" s="179"/>
    </row>
  </sheetData>
  <sheetProtection formatCells="0" formatColumns="0" formatRows="0" insertColumns="0" insertRows="0" insertHyperlinks="0" deleteColumns="0" deleteRows="0" sort="0" autoFilter="0" pivotTables="0"/>
  <conditionalFormatting sqref="I12:W1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41" fitToHeight="0" orientation="portrait" r:id="rId1"/>
  <ignoredErrors>
    <ignoredError sqref="K15 M15 O15 Q15 S15 U1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V442"/>
  <sheetViews>
    <sheetView showGridLines="0" zoomScale="60" zoomScaleNormal="6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0" defaultRowHeight="15" customHeight="1" outlineLevelRow="5"/>
  <cols>
    <col min="1" max="1" width="5.42578125" style="73" customWidth="1"/>
    <col min="2" max="2" width="5" style="1" customWidth="1"/>
    <col min="3" max="3" width="51.7109375" style="1" customWidth="1"/>
    <col min="4" max="4" width="16.42578125" style="1" customWidth="1"/>
    <col min="5" max="5" width="11.7109375" style="1" customWidth="1"/>
    <col min="6" max="6" width="12.140625" style="1" customWidth="1"/>
    <col min="7" max="7" width="17.85546875" style="1" customWidth="1"/>
    <col min="8" max="8" width="11.85546875" style="1" customWidth="1"/>
    <col min="9" max="9" width="10.5703125" style="1" customWidth="1"/>
    <col min="10" max="10" width="10.7109375" style="1" customWidth="1"/>
    <col min="11" max="11" width="11.285156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3" style="1" customWidth="1"/>
    <col min="16" max="19" width="10.7109375" style="1" customWidth="1"/>
    <col min="20" max="20" width="12.42578125" style="1" customWidth="1"/>
    <col min="21" max="21" width="13.42578125" style="1" customWidth="1"/>
    <col min="22" max="27" width="11.140625" style="1" customWidth="1"/>
    <col min="28" max="28" width="14.5703125" style="1" customWidth="1"/>
    <col min="29" max="30" width="11.140625" style="1" customWidth="1"/>
    <col min="31" max="31" width="11.28515625" style="1" customWidth="1"/>
    <col min="32" max="38" width="11.140625" style="1" customWidth="1"/>
    <col min="39" max="40" width="11.28515625" style="1" customWidth="1"/>
    <col min="41" max="50" width="11.140625" style="1" customWidth="1"/>
    <col min="51" max="52" width="11.28515625" style="1" customWidth="1"/>
    <col min="53" max="54" width="11.140625" style="1" customWidth="1"/>
    <col min="55" max="55" width="13.140625" style="1" customWidth="1"/>
    <col min="56" max="62" width="11.140625" style="1" customWidth="1"/>
    <col min="63" max="63" width="11.28515625" style="1" customWidth="1"/>
    <col min="64" max="64" width="13.140625" style="1" customWidth="1"/>
    <col min="65" max="74" width="11.140625" style="1" customWidth="1"/>
    <col min="75" max="76" width="11.28515625" style="1" customWidth="1"/>
    <col min="77" max="86" width="11.140625" style="1" customWidth="1"/>
    <col min="87" max="88" width="11.28515625" style="1" customWidth="1"/>
    <col min="89" max="89" width="11.140625" style="1" customWidth="1"/>
    <col min="90" max="90" width="13.85546875" style="1" customWidth="1"/>
    <col min="91" max="98" width="11.140625" style="1" customWidth="1"/>
    <col min="99" max="99" width="11.28515625" style="1" customWidth="1"/>
    <col min="100" max="100" width="15.85546875" style="1" customWidth="1"/>
    <col min="101" max="16384" width="12.5703125" style="1" hidden="1"/>
  </cols>
  <sheetData>
    <row r="1" spans="1:99" ht="21.75" customHeight="1">
      <c r="B1" s="467"/>
      <c r="C1" s="468"/>
      <c r="I1" s="7"/>
      <c r="J1" s="7"/>
      <c r="K1" s="7"/>
      <c r="L1" s="7"/>
      <c r="M1" s="7"/>
      <c r="N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30.75" customHeight="1">
      <c r="B2" s="468"/>
      <c r="C2" s="468"/>
      <c r="D2" s="4" t="s">
        <v>0</v>
      </c>
      <c r="F2" s="5"/>
      <c r="I2" s="7"/>
      <c r="J2" s="7"/>
      <c r="K2" s="7"/>
      <c r="L2" s="7"/>
      <c r="M2" s="7"/>
      <c r="N2" s="7"/>
      <c r="P2" s="7"/>
      <c r="Q2" s="7"/>
      <c r="R2" s="7"/>
      <c r="S2" s="7"/>
      <c r="T2" s="7"/>
      <c r="U2" s="7"/>
      <c r="V2" s="7"/>
      <c r="W2" s="7"/>
      <c r="X2" s="7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6.75" customHeight="1">
      <c r="B3" s="468"/>
      <c r="C3" s="468"/>
      <c r="F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24.75" customHeight="1">
      <c r="B4" s="468"/>
      <c r="C4" s="468"/>
      <c r="D4" s="8" t="s">
        <v>1</v>
      </c>
      <c r="E4" s="9"/>
      <c r="F4" s="10"/>
      <c r="G4" s="122"/>
      <c r="I4" s="7"/>
      <c r="J4" s="7"/>
      <c r="K4" s="7"/>
      <c r="L4" s="7"/>
      <c r="M4" s="7"/>
      <c r="O4" s="7"/>
      <c r="P4" s="7"/>
      <c r="Q4" s="7"/>
      <c r="R4" s="7"/>
      <c r="S4" s="7"/>
      <c r="T4" s="7"/>
      <c r="U4" s="7"/>
      <c r="V4" s="7"/>
      <c r="W4" s="7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15"/>
      <c r="CM4" s="3"/>
      <c r="CN4" s="3"/>
      <c r="CO4" s="3"/>
      <c r="CP4" s="3"/>
      <c r="CQ4" s="3"/>
      <c r="CR4" s="3"/>
      <c r="CS4" s="3"/>
      <c r="CT4" s="3"/>
      <c r="CU4" s="3"/>
    </row>
    <row r="5" spans="1:99" ht="15.75" customHeight="1" thickBot="1">
      <c r="B5" s="469"/>
      <c r="C5" s="469"/>
      <c r="D5" s="11"/>
      <c r="E5" s="11"/>
      <c r="F5" s="12"/>
      <c r="G5" s="13"/>
      <c r="H5" s="12"/>
      <c r="I5" s="12"/>
      <c r="J5" s="12"/>
      <c r="K5" s="12"/>
      <c r="L5" s="12"/>
      <c r="M5" s="12"/>
      <c r="N5" s="14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2"/>
      <c r="AD5" s="12"/>
      <c r="AE5" s="12"/>
      <c r="AF5" s="12"/>
      <c r="AG5" s="12"/>
      <c r="AH5" s="1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15"/>
      <c r="CM5" s="3"/>
      <c r="CN5" s="3"/>
      <c r="CO5" s="3"/>
      <c r="CP5" s="3"/>
      <c r="CQ5" s="3"/>
      <c r="CR5" s="3"/>
      <c r="CS5" s="3"/>
      <c r="CT5" s="3"/>
      <c r="CU5" s="3"/>
    </row>
    <row r="6" spans="1:99" ht="6.75" customHeight="1">
      <c r="C6" s="16"/>
      <c r="D6" s="16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ht="12" customHeight="1">
      <c r="B7" s="18"/>
      <c r="C7" s="18"/>
      <c r="D7" s="18"/>
      <c r="E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</row>
    <row r="8" spans="1:99" ht="15.75" customHeight="1">
      <c r="B8" s="18"/>
      <c r="C8" s="21" t="s">
        <v>2</v>
      </c>
      <c r="D8" s="470" t="s">
        <v>3</v>
      </c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2"/>
      <c r="P8" s="470" t="s">
        <v>4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2"/>
      <c r="AB8" s="470" t="s">
        <v>5</v>
      </c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2"/>
      <c r="AN8" s="470" t="s">
        <v>6</v>
      </c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2"/>
      <c r="AZ8" s="464" t="s">
        <v>7</v>
      </c>
      <c r="BA8" s="465"/>
      <c r="BB8" s="465"/>
      <c r="BC8" s="465"/>
      <c r="BD8" s="465"/>
      <c r="BE8" s="465"/>
      <c r="BF8" s="465"/>
      <c r="BG8" s="465"/>
      <c r="BH8" s="465"/>
      <c r="BI8" s="465"/>
      <c r="BJ8" s="465"/>
      <c r="BK8" s="466"/>
      <c r="BL8" s="464" t="s">
        <v>8</v>
      </c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6"/>
      <c r="BX8" s="464" t="s">
        <v>9</v>
      </c>
      <c r="BY8" s="465"/>
      <c r="BZ8" s="465"/>
      <c r="CA8" s="465"/>
      <c r="CB8" s="465"/>
      <c r="CC8" s="465"/>
      <c r="CD8" s="465"/>
      <c r="CE8" s="465"/>
      <c r="CF8" s="465"/>
      <c r="CG8" s="465"/>
      <c r="CH8" s="465"/>
      <c r="CI8" s="466"/>
      <c r="CJ8" s="464" t="s">
        <v>10</v>
      </c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6"/>
    </row>
    <row r="9" spans="1:99" ht="15.75" customHeight="1">
      <c r="A9" s="84"/>
      <c r="B9" s="18"/>
      <c r="C9" s="21" t="s">
        <v>11</v>
      </c>
      <c r="D9" s="22">
        <v>1</v>
      </c>
      <c r="E9" s="23">
        <v>2</v>
      </c>
      <c r="F9" s="23">
        <v>3</v>
      </c>
      <c r="G9" s="23">
        <v>4</v>
      </c>
      <c r="H9" s="23">
        <v>5</v>
      </c>
      <c r="I9" s="23">
        <v>6</v>
      </c>
      <c r="J9" s="23">
        <v>7</v>
      </c>
      <c r="K9" s="23">
        <v>8</v>
      </c>
      <c r="L9" s="23">
        <v>9</v>
      </c>
      <c r="M9" s="23">
        <v>10</v>
      </c>
      <c r="N9" s="23">
        <v>11</v>
      </c>
      <c r="O9" s="24">
        <v>12</v>
      </c>
      <c r="P9" s="25">
        <v>13</v>
      </c>
      <c r="Q9" s="23">
        <v>14</v>
      </c>
      <c r="R9" s="23">
        <v>15</v>
      </c>
      <c r="S9" s="23">
        <v>16</v>
      </c>
      <c r="T9" s="23">
        <v>17</v>
      </c>
      <c r="U9" s="23">
        <v>18</v>
      </c>
      <c r="V9" s="23">
        <v>19</v>
      </c>
      <c r="W9" s="23">
        <v>20</v>
      </c>
      <c r="X9" s="23">
        <v>21</v>
      </c>
      <c r="Y9" s="23">
        <v>22</v>
      </c>
      <c r="Z9" s="23">
        <v>23</v>
      </c>
      <c r="AA9" s="24">
        <v>24</v>
      </c>
      <c r="AB9" s="26">
        <v>25</v>
      </c>
      <c r="AC9" s="26">
        <f t="shared" ref="AC9:CN9" si="0">AB9+1</f>
        <v>26</v>
      </c>
      <c r="AD9" s="26">
        <f t="shared" si="0"/>
        <v>27</v>
      </c>
      <c r="AE9" s="26">
        <f t="shared" si="0"/>
        <v>28</v>
      </c>
      <c r="AF9" s="26">
        <f t="shared" si="0"/>
        <v>29</v>
      </c>
      <c r="AG9" s="26">
        <f t="shared" si="0"/>
        <v>30</v>
      </c>
      <c r="AH9" s="26">
        <f t="shared" si="0"/>
        <v>31</v>
      </c>
      <c r="AI9" s="26">
        <f t="shared" si="0"/>
        <v>32</v>
      </c>
      <c r="AJ9" s="26">
        <f t="shared" si="0"/>
        <v>33</v>
      </c>
      <c r="AK9" s="26">
        <f t="shared" si="0"/>
        <v>34</v>
      </c>
      <c r="AL9" s="26">
        <f t="shared" si="0"/>
        <v>35</v>
      </c>
      <c r="AM9" s="26">
        <f t="shared" si="0"/>
        <v>36</v>
      </c>
      <c r="AN9" s="26">
        <f t="shared" si="0"/>
        <v>37</v>
      </c>
      <c r="AO9" s="26">
        <f t="shared" si="0"/>
        <v>38</v>
      </c>
      <c r="AP9" s="26">
        <f t="shared" si="0"/>
        <v>39</v>
      </c>
      <c r="AQ9" s="26">
        <f t="shared" si="0"/>
        <v>40</v>
      </c>
      <c r="AR9" s="26">
        <f t="shared" si="0"/>
        <v>41</v>
      </c>
      <c r="AS9" s="26">
        <f t="shared" si="0"/>
        <v>42</v>
      </c>
      <c r="AT9" s="26">
        <f t="shared" si="0"/>
        <v>43</v>
      </c>
      <c r="AU9" s="26">
        <f t="shared" si="0"/>
        <v>44</v>
      </c>
      <c r="AV9" s="26">
        <f t="shared" si="0"/>
        <v>45</v>
      </c>
      <c r="AW9" s="26">
        <f t="shared" si="0"/>
        <v>46</v>
      </c>
      <c r="AX9" s="26">
        <f t="shared" si="0"/>
        <v>47</v>
      </c>
      <c r="AY9" s="26">
        <f t="shared" si="0"/>
        <v>48</v>
      </c>
      <c r="AZ9" s="27">
        <f t="shared" si="0"/>
        <v>49</v>
      </c>
      <c r="BA9" s="27">
        <f t="shared" si="0"/>
        <v>50</v>
      </c>
      <c r="BB9" s="27">
        <f t="shared" si="0"/>
        <v>51</v>
      </c>
      <c r="BC9" s="27">
        <f t="shared" si="0"/>
        <v>52</v>
      </c>
      <c r="BD9" s="27">
        <f t="shared" si="0"/>
        <v>53</v>
      </c>
      <c r="BE9" s="27">
        <f t="shared" si="0"/>
        <v>54</v>
      </c>
      <c r="BF9" s="27">
        <f t="shared" si="0"/>
        <v>55</v>
      </c>
      <c r="BG9" s="27">
        <f t="shared" si="0"/>
        <v>56</v>
      </c>
      <c r="BH9" s="27">
        <f t="shared" si="0"/>
        <v>57</v>
      </c>
      <c r="BI9" s="27">
        <f t="shared" si="0"/>
        <v>58</v>
      </c>
      <c r="BJ9" s="27">
        <f t="shared" si="0"/>
        <v>59</v>
      </c>
      <c r="BK9" s="27">
        <f t="shared" si="0"/>
        <v>60</v>
      </c>
      <c r="BL9" s="27">
        <f t="shared" si="0"/>
        <v>61</v>
      </c>
      <c r="BM9" s="27">
        <f t="shared" si="0"/>
        <v>62</v>
      </c>
      <c r="BN9" s="27">
        <f t="shared" si="0"/>
        <v>63</v>
      </c>
      <c r="BO9" s="27">
        <f t="shared" si="0"/>
        <v>64</v>
      </c>
      <c r="BP9" s="27">
        <f t="shared" si="0"/>
        <v>65</v>
      </c>
      <c r="BQ9" s="27">
        <f t="shared" si="0"/>
        <v>66</v>
      </c>
      <c r="BR9" s="27">
        <f t="shared" si="0"/>
        <v>67</v>
      </c>
      <c r="BS9" s="27">
        <f t="shared" si="0"/>
        <v>68</v>
      </c>
      <c r="BT9" s="27">
        <f t="shared" si="0"/>
        <v>69</v>
      </c>
      <c r="BU9" s="27">
        <f t="shared" si="0"/>
        <v>70</v>
      </c>
      <c r="BV9" s="27">
        <f t="shared" si="0"/>
        <v>71</v>
      </c>
      <c r="BW9" s="27">
        <f t="shared" si="0"/>
        <v>72</v>
      </c>
      <c r="BX9" s="27">
        <f t="shared" si="0"/>
        <v>73</v>
      </c>
      <c r="BY9" s="27">
        <f t="shared" si="0"/>
        <v>74</v>
      </c>
      <c r="BZ9" s="27">
        <f t="shared" si="0"/>
        <v>75</v>
      </c>
      <c r="CA9" s="27">
        <f t="shared" si="0"/>
        <v>76</v>
      </c>
      <c r="CB9" s="27">
        <f t="shared" si="0"/>
        <v>77</v>
      </c>
      <c r="CC9" s="27">
        <f t="shared" si="0"/>
        <v>78</v>
      </c>
      <c r="CD9" s="27">
        <f t="shared" si="0"/>
        <v>79</v>
      </c>
      <c r="CE9" s="27">
        <f t="shared" si="0"/>
        <v>80</v>
      </c>
      <c r="CF9" s="27">
        <f t="shared" si="0"/>
        <v>81</v>
      </c>
      <c r="CG9" s="27">
        <f t="shared" si="0"/>
        <v>82</v>
      </c>
      <c r="CH9" s="27">
        <f t="shared" si="0"/>
        <v>83</v>
      </c>
      <c r="CI9" s="27">
        <f t="shared" si="0"/>
        <v>84</v>
      </c>
      <c r="CJ9" s="27">
        <f t="shared" si="0"/>
        <v>85</v>
      </c>
      <c r="CK9" s="27">
        <f t="shared" si="0"/>
        <v>86</v>
      </c>
      <c r="CL9" s="27">
        <f t="shared" si="0"/>
        <v>87</v>
      </c>
      <c r="CM9" s="27">
        <f t="shared" si="0"/>
        <v>88</v>
      </c>
      <c r="CN9" s="27">
        <f t="shared" si="0"/>
        <v>89</v>
      </c>
      <c r="CO9" s="27">
        <f t="shared" ref="CO9:CU9" si="1">CN9+1</f>
        <v>90</v>
      </c>
      <c r="CP9" s="27">
        <f t="shared" si="1"/>
        <v>91</v>
      </c>
      <c r="CQ9" s="27">
        <f t="shared" si="1"/>
        <v>92</v>
      </c>
      <c r="CR9" s="27">
        <f t="shared" si="1"/>
        <v>93</v>
      </c>
      <c r="CS9" s="27">
        <f t="shared" si="1"/>
        <v>94</v>
      </c>
      <c r="CT9" s="27">
        <f t="shared" si="1"/>
        <v>95</v>
      </c>
      <c r="CU9" s="27">
        <f t="shared" si="1"/>
        <v>96</v>
      </c>
    </row>
    <row r="10" spans="1:99" ht="15.75" customHeight="1">
      <c r="A10" s="84"/>
      <c r="B10" s="28"/>
      <c r="C10" s="2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5.75" customHeight="1">
      <c r="A11" s="84"/>
      <c r="B11" s="30"/>
      <c r="C11" s="31" t="s">
        <v>12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</row>
    <row r="12" spans="1:99" ht="15.75" customHeight="1">
      <c r="A12" s="84"/>
      <c r="B12" s="21"/>
      <c r="C12" s="21" t="s">
        <v>13</v>
      </c>
      <c r="D12" s="34">
        <f t="shared" ref="D12:CU12" si="2">D19</f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2422</v>
      </c>
      <c r="Q12" s="34">
        <f t="shared" si="2"/>
        <v>2422</v>
      </c>
      <c r="R12" s="34">
        <f t="shared" si="2"/>
        <v>2422</v>
      </c>
      <c r="S12" s="34">
        <f t="shared" si="2"/>
        <v>2422</v>
      </c>
      <c r="T12" s="34">
        <f t="shared" si="2"/>
        <v>2422</v>
      </c>
      <c r="U12" s="34">
        <f t="shared" si="2"/>
        <v>2422</v>
      </c>
      <c r="V12" s="34">
        <f t="shared" si="2"/>
        <v>4844</v>
      </c>
      <c r="W12" s="34">
        <f t="shared" si="2"/>
        <v>4844</v>
      </c>
      <c r="X12" s="34">
        <f t="shared" si="2"/>
        <v>4844</v>
      </c>
      <c r="Y12" s="34">
        <f t="shared" si="2"/>
        <v>4844</v>
      </c>
      <c r="Z12" s="34">
        <f t="shared" si="2"/>
        <v>4844</v>
      </c>
      <c r="AA12" s="34">
        <f t="shared" si="2"/>
        <v>4844</v>
      </c>
      <c r="AB12" s="34">
        <f t="shared" si="2"/>
        <v>142188</v>
      </c>
      <c r="AC12" s="34">
        <f t="shared" si="2"/>
        <v>12188</v>
      </c>
      <c r="AD12" s="34">
        <f t="shared" si="2"/>
        <v>12188</v>
      </c>
      <c r="AE12" s="34">
        <f t="shared" si="2"/>
        <v>12188</v>
      </c>
      <c r="AF12" s="34">
        <f t="shared" si="2"/>
        <v>12188</v>
      </c>
      <c r="AG12" s="34">
        <f t="shared" si="2"/>
        <v>149532</v>
      </c>
      <c r="AH12" s="34">
        <f t="shared" si="2"/>
        <v>19532</v>
      </c>
      <c r="AI12" s="34">
        <f t="shared" si="2"/>
        <v>19532</v>
      </c>
      <c r="AJ12" s="34">
        <f t="shared" si="2"/>
        <v>19532</v>
      </c>
      <c r="AK12" s="34">
        <f t="shared" si="2"/>
        <v>19532</v>
      </c>
      <c r="AL12" s="34">
        <f t="shared" si="2"/>
        <v>19532</v>
      </c>
      <c r="AM12" s="34">
        <f t="shared" si="2"/>
        <v>152032</v>
      </c>
      <c r="AN12" s="34">
        <f t="shared" si="2"/>
        <v>19125.599999999999</v>
      </c>
      <c r="AO12" s="34">
        <f t="shared" si="2"/>
        <v>19125.599999999999</v>
      </c>
      <c r="AP12" s="34">
        <f t="shared" si="2"/>
        <v>19125.599999999999</v>
      </c>
      <c r="AQ12" s="34">
        <f t="shared" si="2"/>
        <v>19125.599999999999</v>
      </c>
      <c r="AR12" s="34">
        <f t="shared" si="2"/>
        <v>19125.599999999999</v>
      </c>
      <c r="AS12" s="34">
        <f t="shared" si="2"/>
        <v>282218.40000000002</v>
      </c>
      <c r="AT12" s="34">
        <f t="shared" si="2"/>
        <v>38618.399999999994</v>
      </c>
      <c r="AU12" s="34">
        <f t="shared" si="2"/>
        <v>38618.399999999994</v>
      </c>
      <c r="AV12" s="34">
        <f t="shared" si="2"/>
        <v>38618.399999999994</v>
      </c>
      <c r="AW12" s="34">
        <f t="shared" si="2"/>
        <v>38618.399999999994</v>
      </c>
      <c r="AX12" s="34">
        <f t="shared" si="2"/>
        <v>38618.399999999994</v>
      </c>
      <c r="AY12" s="34">
        <f t="shared" si="2"/>
        <v>514744</v>
      </c>
      <c r="AZ12" s="34">
        <f t="shared" si="2"/>
        <v>210150.39999999999</v>
      </c>
      <c r="BA12" s="34">
        <f t="shared" si="2"/>
        <v>80150.399999999994</v>
      </c>
      <c r="BB12" s="34">
        <f t="shared" si="2"/>
        <v>474789.6</v>
      </c>
      <c r="BC12" s="34">
        <f t="shared" si="2"/>
        <v>109389.6</v>
      </c>
      <c r="BD12" s="34">
        <f t="shared" si="2"/>
        <v>109389.6</v>
      </c>
      <c r="BE12" s="34">
        <f t="shared" si="2"/>
        <v>1061640.8</v>
      </c>
      <c r="BF12" s="34">
        <f t="shared" si="2"/>
        <v>181640.8</v>
      </c>
      <c r="BG12" s="34">
        <f t="shared" si="2"/>
        <v>181640.8</v>
      </c>
      <c r="BH12" s="34">
        <f t="shared" si="2"/>
        <v>1133892</v>
      </c>
      <c r="BI12" s="34">
        <f t="shared" si="2"/>
        <v>253892</v>
      </c>
      <c r="BJ12" s="34">
        <f t="shared" si="2"/>
        <v>253892</v>
      </c>
      <c r="BK12" s="34">
        <f t="shared" si="2"/>
        <v>253892</v>
      </c>
      <c r="BL12" s="34">
        <f t="shared" si="2"/>
        <v>524704.80000000005</v>
      </c>
      <c r="BM12" s="34">
        <f t="shared" si="2"/>
        <v>264704.8</v>
      </c>
      <c r="BN12" s="34">
        <f t="shared" si="2"/>
        <v>1053983.2</v>
      </c>
      <c r="BO12" s="34">
        <f t="shared" si="2"/>
        <v>323183.2</v>
      </c>
      <c r="BP12" s="34">
        <f t="shared" si="2"/>
        <v>323183.2</v>
      </c>
      <c r="BQ12" s="34">
        <f t="shared" si="2"/>
        <v>2227685.6</v>
      </c>
      <c r="BR12" s="34">
        <f t="shared" si="2"/>
        <v>467685.6</v>
      </c>
      <c r="BS12" s="34">
        <f t="shared" si="2"/>
        <v>467685.6</v>
      </c>
      <c r="BT12" s="34">
        <f t="shared" si="2"/>
        <v>2372188</v>
      </c>
      <c r="BU12" s="34">
        <f t="shared" si="2"/>
        <v>612188</v>
      </c>
      <c r="BV12" s="34">
        <f t="shared" si="2"/>
        <v>612188</v>
      </c>
      <c r="BW12" s="34">
        <f t="shared" si="2"/>
        <v>612188</v>
      </c>
      <c r="BX12" s="34">
        <f t="shared" si="2"/>
        <v>988407.2</v>
      </c>
      <c r="BY12" s="34">
        <f t="shared" si="2"/>
        <v>628407.19999999995</v>
      </c>
      <c r="BZ12" s="34">
        <f t="shared" si="2"/>
        <v>1812324.8</v>
      </c>
      <c r="CA12" s="34">
        <f t="shared" si="2"/>
        <v>716124.8</v>
      </c>
      <c r="CB12" s="34">
        <f t="shared" si="2"/>
        <v>716124.8</v>
      </c>
      <c r="CC12" s="34">
        <f t="shared" si="2"/>
        <v>3572878.4</v>
      </c>
      <c r="CD12" s="34">
        <f t="shared" si="2"/>
        <v>932878.39999999991</v>
      </c>
      <c r="CE12" s="34">
        <f t="shared" si="2"/>
        <v>932878.39999999991</v>
      </c>
      <c r="CF12" s="34">
        <f t="shared" si="2"/>
        <v>3789632</v>
      </c>
      <c r="CG12" s="34">
        <f t="shared" si="2"/>
        <v>1149632</v>
      </c>
      <c r="CH12" s="34">
        <f t="shared" si="2"/>
        <v>1149632</v>
      </c>
      <c r="CI12" s="34">
        <f t="shared" si="2"/>
        <v>1149632</v>
      </c>
      <c r="CJ12" s="34">
        <f t="shared" si="2"/>
        <v>1651257.6</v>
      </c>
      <c r="CK12" s="34">
        <f t="shared" si="2"/>
        <v>1171257.6000000001</v>
      </c>
      <c r="CL12" s="34">
        <f t="shared" si="2"/>
        <v>2749814.4</v>
      </c>
      <c r="CM12" s="34">
        <f t="shared" si="2"/>
        <v>1288214.3999999999</v>
      </c>
      <c r="CN12" s="34">
        <f t="shared" si="2"/>
        <v>1288214.3999999999</v>
      </c>
      <c r="CO12" s="34">
        <f t="shared" si="2"/>
        <v>5097219.2</v>
      </c>
      <c r="CP12" s="34">
        <f t="shared" si="2"/>
        <v>1577219.2</v>
      </c>
      <c r="CQ12" s="34">
        <f t="shared" si="2"/>
        <v>1577219.2</v>
      </c>
      <c r="CR12" s="34">
        <f t="shared" si="2"/>
        <v>5386224</v>
      </c>
      <c r="CS12" s="34">
        <f t="shared" si="2"/>
        <v>1866224</v>
      </c>
      <c r="CT12" s="34">
        <f t="shared" si="2"/>
        <v>1866224</v>
      </c>
      <c r="CU12" s="34">
        <f t="shared" si="2"/>
        <v>1866224</v>
      </c>
    </row>
    <row r="13" spans="1:99" ht="15.75" customHeight="1">
      <c r="A13" s="84"/>
      <c r="B13" s="21"/>
      <c r="C13" s="21" t="s">
        <v>14</v>
      </c>
      <c r="D13" s="34">
        <f t="shared" ref="D13:AI13" si="3">D12-D50</f>
        <v>-544360</v>
      </c>
      <c r="E13" s="34">
        <f t="shared" si="3"/>
        <v>-29360</v>
      </c>
      <c r="F13" s="34">
        <f t="shared" si="3"/>
        <v>-36084.741000000002</v>
      </c>
      <c r="G13" s="34">
        <f t="shared" si="3"/>
        <v>-36084.741000000002</v>
      </c>
      <c r="H13" s="34">
        <f t="shared" si="3"/>
        <v>-36084.741000000002</v>
      </c>
      <c r="I13" s="34">
        <f t="shared" si="3"/>
        <v>-36184.741000000002</v>
      </c>
      <c r="J13" s="34">
        <f t="shared" si="3"/>
        <v>-36184.741000000002</v>
      </c>
      <c r="K13" s="34">
        <f t="shared" si="3"/>
        <v>-36184.741000000002</v>
      </c>
      <c r="L13" s="34">
        <f t="shared" si="3"/>
        <v>-36184.741000000002</v>
      </c>
      <c r="M13" s="34">
        <f t="shared" si="3"/>
        <v>-36184.741000000002</v>
      </c>
      <c r="N13" s="34">
        <f t="shared" si="3"/>
        <v>-36184.741000000002</v>
      </c>
      <c r="O13" s="34">
        <f t="shared" si="3"/>
        <v>-48184.741000000002</v>
      </c>
      <c r="P13" s="34">
        <f t="shared" si="3"/>
        <v>-67328.997000000003</v>
      </c>
      <c r="Q13" s="34">
        <f t="shared" si="3"/>
        <v>-34328.997000000003</v>
      </c>
      <c r="R13" s="34">
        <f t="shared" si="3"/>
        <v>-34328.997000000003</v>
      </c>
      <c r="S13" s="34">
        <f t="shared" si="3"/>
        <v>-34328.997000000003</v>
      </c>
      <c r="T13" s="34">
        <f t="shared" si="3"/>
        <v>-34328.997000000003</v>
      </c>
      <c r="U13" s="34">
        <f t="shared" si="3"/>
        <v>-34328.997000000003</v>
      </c>
      <c r="V13" s="34">
        <f t="shared" si="3"/>
        <v>-32023.252999999997</v>
      </c>
      <c r="W13" s="34">
        <f t="shared" si="3"/>
        <v>-32023.252999999997</v>
      </c>
      <c r="X13" s="34">
        <f t="shared" si="3"/>
        <v>-32023.252999999997</v>
      </c>
      <c r="Y13" s="34">
        <f t="shared" si="3"/>
        <v>-34323.252999999997</v>
      </c>
      <c r="Z13" s="34">
        <f t="shared" si="3"/>
        <v>-33023.252999999997</v>
      </c>
      <c r="AA13" s="34">
        <f t="shared" si="3"/>
        <v>-165023.253</v>
      </c>
      <c r="AB13" s="34">
        <f t="shared" si="3"/>
        <v>50012.534</v>
      </c>
      <c r="AC13" s="34">
        <f t="shared" si="3"/>
        <v>-28487.466</v>
      </c>
      <c r="AD13" s="34">
        <f t="shared" si="3"/>
        <v>-28487.466</v>
      </c>
      <c r="AE13" s="34">
        <f t="shared" si="3"/>
        <v>-48987.466</v>
      </c>
      <c r="AF13" s="34">
        <f t="shared" si="3"/>
        <v>-148987.46600000001</v>
      </c>
      <c r="AG13" s="34">
        <f t="shared" si="3"/>
        <v>107978.80100000001</v>
      </c>
      <c r="AH13" s="34">
        <f t="shared" si="3"/>
        <v>-22021.199000000001</v>
      </c>
      <c r="AI13" s="34">
        <f t="shared" si="3"/>
        <v>-22021.199000000001</v>
      </c>
      <c r="AJ13" s="34">
        <f t="shared" ref="AJ13:BO13" si="4">AJ12-AJ50</f>
        <v>-22021.199000000001</v>
      </c>
      <c r="AK13" s="34">
        <f t="shared" si="4"/>
        <v>-22021.199000000001</v>
      </c>
      <c r="AL13" s="34">
        <f t="shared" si="4"/>
        <v>-145531.19899999999</v>
      </c>
      <c r="AM13" s="34">
        <f t="shared" si="4"/>
        <v>99023.58</v>
      </c>
      <c r="AN13" s="34">
        <f t="shared" si="4"/>
        <v>-176945.28399999999</v>
      </c>
      <c r="AO13" s="34">
        <f t="shared" si="4"/>
        <v>-29945.284</v>
      </c>
      <c r="AP13" s="34">
        <f t="shared" si="4"/>
        <v>-28945.284</v>
      </c>
      <c r="AQ13" s="34">
        <f t="shared" si="4"/>
        <v>-131345.28399999999</v>
      </c>
      <c r="AR13" s="34">
        <f t="shared" si="4"/>
        <v>-138945.28399999999</v>
      </c>
      <c r="AS13" s="34">
        <f t="shared" si="4"/>
        <v>233566.63200000004</v>
      </c>
      <c r="AT13" s="34">
        <f t="shared" si="4"/>
        <v>-10742.926000000007</v>
      </c>
      <c r="AU13" s="34">
        <f t="shared" si="4"/>
        <v>-109742.92600000001</v>
      </c>
      <c r="AV13" s="34">
        <f t="shared" si="4"/>
        <v>-122862.92600000001</v>
      </c>
      <c r="AW13" s="34">
        <f t="shared" si="4"/>
        <v>-113012.92600000001</v>
      </c>
      <c r="AX13" s="34">
        <f t="shared" si="4"/>
        <v>-168462.92600000001</v>
      </c>
      <c r="AY13" s="34">
        <f t="shared" si="4"/>
        <v>367981.79000000004</v>
      </c>
      <c r="AZ13" s="34">
        <f t="shared" si="4"/>
        <v>-52537.030999999988</v>
      </c>
      <c r="BA13" s="34">
        <f t="shared" si="4"/>
        <v>15062.968999999997</v>
      </c>
      <c r="BB13" s="34">
        <f t="shared" si="4"/>
        <v>130230.84299999999</v>
      </c>
      <c r="BC13" s="34">
        <f t="shared" si="4"/>
        <v>-1291473.4939999999</v>
      </c>
      <c r="BD13" s="34">
        <f t="shared" si="4"/>
        <v>10876.506000000008</v>
      </c>
      <c r="BE13" s="34">
        <f t="shared" si="4"/>
        <v>204365.93800000008</v>
      </c>
      <c r="BF13" s="34">
        <f t="shared" si="4"/>
        <v>83365.937999999995</v>
      </c>
      <c r="BG13" s="34">
        <f t="shared" si="4"/>
        <v>81965.937999999995</v>
      </c>
      <c r="BH13" s="34">
        <f t="shared" si="4"/>
        <v>275455.37</v>
      </c>
      <c r="BI13" s="34">
        <f t="shared" si="4"/>
        <v>155455.37</v>
      </c>
      <c r="BJ13" s="34">
        <f t="shared" si="4"/>
        <v>155455.37</v>
      </c>
      <c r="BK13" s="34">
        <f t="shared" si="4"/>
        <v>129255.37</v>
      </c>
      <c r="BL13" s="34">
        <f t="shared" si="4"/>
        <v>-65892.271999999997</v>
      </c>
      <c r="BM13" s="34">
        <f t="shared" si="4"/>
        <v>-24362.271999999997</v>
      </c>
      <c r="BN13" s="34">
        <f t="shared" si="4"/>
        <v>358873.47599999991</v>
      </c>
      <c r="BO13" s="34">
        <f t="shared" si="4"/>
        <v>198944.80200000003</v>
      </c>
      <c r="BP13" s="34">
        <f t="shared" ref="BP13:CU13" si="5">BP12-BP50</f>
        <v>192944.80200000003</v>
      </c>
      <c r="BQ13" s="34">
        <f t="shared" si="5"/>
        <v>581123.6660000002</v>
      </c>
      <c r="BR13" s="34">
        <f t="shared" si="5"/>
        <v>340123.66599999997</v>
      </c>
      <c r="BS13" s="34">
        <f t="shared" si="5"/>
        <v>159753.66599999997</v>
      </c>
      <c r="BT13" s="34">
        <f t="shared" si="5"/>
        <v>708632.53</v>
      </c>
      <c r="BU13" s="34">
        <f t="shared" si="5"/>
        <v>468632.53</v>
      </c>
      <c r="BV13" s="34">
        <f t="shared" si="5"/>
        <v>468632.53</v>
      </c>
      <c r="BW13" s="34">
        <f t="shared" si="5"/>
        <v>415232.53</v>
      </c>
      <c r="BX13" s="34">
        <f t="shared" si="5"/>
        <v>362416.06699999992</v>
      </c>
      <c r="BY13" s="34">
        <f t="shared" si="5"/>
        <v>476416.06699999992</v>
      </c>
      <c r="BZ13" s="34">
        <f t="shared" si="5"/>
        <v>810719.68900000001</v>
      </c>
      <c r="CA13" s="34">
        <f t="shared" si="5"/>
        <v>396406.67800000007</v>
      </c>
      <c r="CB13" s="34">
        <f t="shared" si="5"/>
        <v>550106.67800000007</v>
      </c>
      <c r="CC13" s="34">
        <f t="shared" si="5"/>
        <v>1131374.9739999999</v>
      </c>
      <c r="CD13" s="34">
        <f t="shared" si="5"/>
        <v>770374.97399999993</v>
      </c>
      <c r="CE13" s="34">
        <f t="shared" si="5"/>
        <v>763374.97399999993</v>
      </c>
      <c r="CF13" s="34">
        <f t="shared" si="5"/>
        <v>1344643.27</v>
      </c>
      <c r="CG13" s="34">
        <f t="shared" si="5"/>
        <v>984643.27</v>
      </c>
      <c r="CH13" s="34">
        <f t="shared" si="5"/>
        <v>984643.27</v>
      </c>
      <c r="CI13" s="34">
        <f t="shared" si="5"/>
        <v>715823.27</v>
      </c>
      <c r="CJ13" s="34">
        <f t="shared" si="5"/>
        <v>860967.98600000003</v>
      </c>
      <c r="CK13" s="34">
        <f t="shared" si="5"/>
        <v>983967.98600000003</v>
      </c>
      <c r="CL13" s="34">
        <f t="shared" si="5"/>
        <v>1429039.4819999998</v>
      </c>
      <c r="CM13" s="34">
        <f t="shared" si="5"/>
        <v>1109182.1339999998</v>
      </c>
      <c r="CN13" s="34">
        <f t="shared" si="5"/>
        <v>1099182.1339999998</v>
      </c>
      <c r="CO13" s="34">
        <f t="shared" si="5"/>
        <v>1873539.8620000002</v>
      </c>
      <c r="CP13" s="34">
        <f t="shared" si="5"/>
        <v>1392539.862</v>
      </c>
      <c r="CQ13" s="34">
        <f t="shared" si="5"/>
        <v>1207119.862</v>
      </c>
      <c r="CR13" s="34">
        <f t="shared" si="5"/>
        <v>2145177.59</v>
      </c>
      <c r="CS13" s="34">
        <f t="shared" si="5"/>
        <v>1665177.59</v>
      </c>
      <c r="CT13" s="34">
        <f t="shared" si="5"/>
        <v>1665177.59</v>
      </c>
      <c r="CU13" s="34">
        <f t="shared" si="5"/>
        <v>1518977.5899999999</v>
      </c>
    </row>
    <row r="14" spans="1:99" ht="15.75" customHeight="1">
      <c r="A14" s="84"/>
      <c r="B14" s="21"/>
      <c r="C14" s="21" t="s">
        <v>15</v>
      </c>
      <c r="D14" s="34"/>
      <c r="E14" s="34">
        <f>D13+E13</f>
        <v>-573720</v>
      </c>
      <c r="F14" s="34">
        <f t="shared" ref="F14:BQ14" si="6">E14+F13</f>
        <v>-609804.74100000004</v>
      </c>
      <c r="G14" s="34">
        <f t="shared" si="6"/>
        <v>-645889.48200000008</v>
      </c>
      <c r="H14" s="34">
        <f t="shared" si="6"/>
        <v>-681974.22300000011</v>
      </c>
      <c r="I14" s="34">
        <f t="shared" si="6"/>
        <v>-718158.96400000015</v>
      </c>
      <c r="J14" s="34">
        <f t="shared" si="6"/>
        <v>-754343.70500000019</v>
      </c>
      <c r="K14" s="34">
        <f t="shared" si="6"/>
        <v>-790528.44600000023</v>
      </c>
      <c r="L14" s="34">
        <f t="shared" si="6"/>
        <v>-826713.18700000027</v>
      </c>
      <c r="M14" s="34">
        <f t="shared" si="6"/>
        <v>-862897.92800000031</v>
      </c>
      <c r="N14" s="34">
        <f t="shared" si="6"/>
        <v>-899082.66900000034</v>
      </c>
      <c r="O14" s="34">
        <f t="shared" si="6"/>
        <v>-947267.41000000038</v>
      </c>
      <c r="P14" s="34">
        <f t="shared" si="6"/>
        <v>-1014596.4070000004</v>
      </c>
      <c r="Q14" s="34">
        <f t="shared" si="6"/>
        <v>-1048925.4040000003</v>
      </c>
      <c r="R14" s="34">
        <f t="shared" si="6"/>
        <v>-1083254.4010000003</v>
      </c>
      <c r="S14" s="34">
        <f t="shared" si="6"/>
        <v>-1117583.3980000003</v>
      </c>
      <c r="T14" s="34">
        <f t="shared" si="6"/>
        <v>-1151912.3950000003</v>
      </c>
      <c r="U14" s="34">
        <f t="shared" si="6"/>
        <v>-1186241.3920000002</v>
      </c>
      <c r="V14" s="34">
        <f t="shared" si="6"/>
        <v>-1218264.6450000003</v>
      </c>
      <c r="W14" s="34">
        <f t="shared" si="6"/>
        <v>-1250287.8980000003</v>
      </c>
      <c r="X14" s="34">
        <f t="shared" si="6"/>
        <v>-1282311.1510000003</v>
      </c>
      <c r="Y14" s="34">
        <f t="shared" si="6"/>
        <v>-1316634.4040000003</v>
      </c>
      <c r="Z14" s="34">
        <f t="shared" si="6"/>
        <v>-1349657.6570000004</v>
      </c>
      <c r="AA14" s="34">
        <f t="shared" si="6"/>
        <v>-1514680.9100000004</v>
      </c>
      <c r="AB14" s="34">
        <f>AA14+AB13</f>
        <v>-1464668.3760000004</v>
      </c>
      <c r="AC14" s="34">
        <f t="shared" si="6"/>
        <v>-1493155.8420000004</v>
      </c>
      <c r="AD14" s="34">
        <f t="shared" si="6"/>
        <v>-1521643.3080000004</v>
      </c>
      <c r="AE14" s="34">
        <f t="shared" si="6"/>
        <v>-1570630.7740000004</v>
      </c>
      <c r="AF14" s="34">
        <f t="shared" si="6"/>
        <v>-1719618.2400000005</v>
      </c>
      <c r="AG14" s="34">
        <f t="shared" si="6"/>
        <v>-1611639.4390000005</v>
      </c>
      <c r="AH14" s="34">
        <f t="shared" si="6"/>
        <v>-1633660.6380000005</v>
      </c>
      <c r="AI14" s="34">
        <f t="shared" si="6"/>
        <v>-1655681.8370000005</v>
      </c>
      <c r="AJ14" s="34">
        <f t="shared" si="6"/>
        <v>-1677703.0360000005</v>
      </c>
      <c r="AK14" s="34">
        <f t="shared" si="6"/>
        <v>-1699724.2350000006</v>
      </c>
      <c r="AL14" s="34">
        <f t="shared" si="6"/>
        <v>-1845255.4340000006</v>
      </c>
      <c r="AM14" s="34">
        <f t="shared" si="6"/>
        <v>-1746231.8540000005</v>
      </c>
      <c r="AN14" s="34">
        <f t="shared" si="6"/>
        <v>-1923177.1380000005</v>
      </c>
      <c r="AO14" s="34">
        <f t="shared" si="6"/>
        <v>-1953122.4220000005</v>
      </c>
      <c r="AP14" s="34">
        <f t="shared" si="6"/>
        <v>-1982067.7060000005</v>
      </c>
      <c r="AQ14" s="34">
        <f t="shared" si="6"/>
        <v>-2113412.9900000002</v>
      </c>
      <c r="AR14" s="34">
        <f t="shared" si="6"/>
        <v>-2252358.2740000002</v>
      </c>
      <c r="AS14" s="34">
        <f t="shared" si="6"/>
        <v>-2018791.6420000002</v>
      </c>
      <c r="AT14" s="34">
        <f t="shared" si="6"/>
        <v>-2029534.5680000002</v>
      </c>
      <c r="AU14" s="34">
        <f t="shared" si="6"/>
        <v>-2139277.4940000004</v>
      </c>
      <c r="AV14" s="34">
        <f t="shared" si="6"/>
        <v>-2262140.4200000004</v>
      </c>
      <c r="AW14" s="34">
        <f t="shared" si="6"/>
        <v>-2375153.3460000004</v>
      </c>
      <c r="AX14" s="34">
        <f t="shared" si="6"/>
        <v>-2543616.2720000003</v>
      </c>
      <c r="AY14" s="34">
        <f t="shared" si="6"/>
        <v>-2175634.4820000003</v>
      </c>
      <c r="AZ14" s="34">
        <f t="shared" si="6"/>
        <v>-2228171.5130000003</v>
      </c>
      <c r="BA14" s="34">
        <f t="shared" si="6"/>
        <v>-2213108.5440000002</v>
      </c>
      <c r="BB14" s="34">
        <f t="shared" si="6"/>
        <v>-2082877.7010000004</v>
      </c>
      <c r="BC14" s="34">
        <f t="shared" si="6"/>
        <v>-3374351.1950000003</v>
      </c>
      <c r="BD14" s="34">
        <f t="shared" si="6"/>
        <v>-3363474.6890000002</v>
      </c>
      <c r="BE14" s="34">
        <f t="shared" si="6"/>
        <v>-3159108.7510000002</v>
      </c>
      <c r="BF14" s="34">
        <f t="shared" si="6"/>
        <v>-3075742.8130000001</v>
      </c>
      <c r="BG14" s="34">
        <f t="shared" si="6"/>
        <v>-2993776.875</v>
      </c>
      <c r="BH14" s="34">
        <f t="shared" si="6"/>
        <v>-2718321.5049999999</v>
      </c>
      <c r="BI14" s="34">
        <f t="shared" si="6"/>
        <v>-2562866.1349999998</v>
      </c>
      <c r="BJ14" s="34">
        <f t="shared" si="6"/>
        <v>-2407410.7649999997</v>
      </c>
      <c r="BK14" s="34">
        <f t="shared" si="6"/>
        <v>-2278155.3949999996</v>
      </c>
      <c r="BL14" s="34">
        <f t="shared" si="6"/>
        <v>-2344047.6669999994</v>
      </c>
      <c r="BM14" s="34">
        <f t="shared" si="6"/>
        <v>-2368409.9389999993</v>
      </c>
      <c r="BN14" s="34">
        <f t="shared" si="6"/>
        <v>-2009536.4629999995</v>
      </c>
      <c r="BO14" s="34">
        <f t="shared" si="6"/>
        <v>-1810591.6609999994</v>
      </c>
      <c r="BP14" s="34">
        <f t="shared" si="6"/>
        <v>-1617646.8589999992</v>
      </c>
      <c r="BQ14" s="34">
        <f t="shared" si="6"/>
        <v>-1036523.192999999</v>
      </c>
      <c r="BR14" s="34">
        <f t="shared" ref="BR14:CU14" si="7">BQ14+BR13</f>
        <v>-696399.52699999907</v>
      </c>
      <c r="BS14" s="34">
        <f t="shared" si="7"/>
        <v>-536645.8609999991</v>
      </c>
      <c r="BT14" s="34">
        <f t="shared" si="7"/>
        <v>171986.66900000093</v>
      </c>
      <c r="BU14" s="34">
        <f t="shared" si="7"/>
        <v>640619.19900000095</v>
      </c>
      <c r="BV14" s="34">
        <f t="shared" si="7"/>
        <v>1109251.729000001</v>
      </c>
      <c r="BW14" s="34">
        <f t="shared" si="7"/>
        <v>1524484.259000001</v>
      </c>
      <c r="BX14" s="34">
        <f t="shared" si="7"/>
        <v>1886900.3260000008</v>
      </c>
      <c r="BY14" s="34">
        <f t="shared" si="7"/>
        <v>2363316.3930000006</v>
      </c>
      <c r="BZ14" s="34">
        <f t="shared" si="7"/>
        <v>3174036.0820000004</v>
      </c>
      <c r="CA14" s="34">
        <f t="shared" si="7"/>
        <v>3570442.7600000007</v>
      </c>
      <c r="CB14" s="34">
        <f t="shared" si="7"/>
        <v>4120549.438000001</v>
      </c>
      <c r="CC14" s="34">
        <f t="shared" si="7"/>
        <v>5251924.4120000005</v>
      </c>
      <c r="CD14" s="34">
        <f t="shared" si="7"/>
        <v>6022299.3859999999</v>
      </c>
      <c r="CE14" s="34">
        <f t="shared" si="7"/>
        <v>6785674.3599999994</v>
      </c>
      <c r="CF14" s="34">
        <f t="shared" si="7"/>
        <v>8130317.629999999</v>
      </c>
      <c r="CG14" s="34">
        <f t="shared" si="7"/>
        <v>9114960.8999999985</v>
      </c>
      <c r="CH14" s="34">
        <f t="shared" si="7"/>
        <v>10099604.169999998</v>
      </c>
      <c r="CI14" s="34">
        <f t="shared" si="7"/>
        <v>10815427.439999998</v>
      </c>
      <c r="CJ14" s="34">
        <f t="shared" si="7"/>
        <v>11676395.425999997</v>
      </c>
      <c r="CK14" s="34">
        <f t="shared" si="7"/>
        <v>12660363.411999997</v>
      </c>
      <c r="CL14" s="34">
        <f t="shared" si="7"/>
        <v>14089402.893999998</v>
      </c>
      <c r="CM14" s="34">
        <f t="shared" si="7"/>
        <v>15198585.027999997</v>
      </c>
      <c r="CN14" s="34">
        <f t="shared" si="7"/>
        <v>16297767.161999997</v>
      </c>
      <c r="CO14" s="34">
        <f t="shared" si="7"/>
        <v>18171307.023999996</v>
      </c>
      <c r="CP14" s="34">
        <f t="shared" si="7"/>
        <v>19563846.885999996</v>
      </c>
      <c r="CQ14" s="34">
        <f t="shared" si="7"/>
        <v>20770966.747999996</v>
      </c>
      <c r="CR14" s="34">
        <f t="shared" si="7"/>
        <v>22916144.337999996</v>
      </c>
      <c r="CS14" s="34">
        <f t="shared" si="7"/>
        <v>24581321.927999996</v>
      </c>
      <c r="CT14" s="34">
        <f t="shared" si="7"/>
        <v>26246499.517999995</v>
      </c>
      <c r="CU14" s="34">
        <f t="shared" si="7"/>
        <v>27765477.107999995</v>
      </c>
    </row>
    <row r="15" spans="1:99" ht="15.75" customHeight="1">
      <c r="A15" s="84"/>
      <c r="B15" s="21"/>
      <c r="C15" s="21" t="s">
        <v>16</v>
      </c>
      <c r="D15" s="34">
        <f>D50</f>
        <v>544360</v>
      </c>
      <c r="E15" s="34">
        <f t="shared" ref="E15:AJ15" si="8">D15+E50</f>
        <v>573720</v>
      </c>
      <c r="F15" s="34">
        <f t="shared" si="8"/>
        <v>609804.74100000004</v>
      </c>
      <c r="G15" s="34">
        <f t="shared" si="8"/>
        <v>645889.48200000008</v>
      </c>
      <c r="H15" s="34">
        <f t="shared" si="8"/>
        <v>681974.22300000011</v>
      </c>
      <c r="I15" s="34">
        <f t="shared" si="8"/>
        <v>718158.96400000015</v>
      </c>
      <c r="J15" s="34">
        <f t="shared" si="8"/>
        <v>754343.70500000019</v>
      </c>
      <c r="K15" s="34">
        <f t="shared" si="8"/>
        <v>790528.44600000023</v>
      </c>
      <c r="L15" s="34">
        <f t="shared" si="8"/>
        <v>826713.18700000027</v>
      </c>
      <c r="M15" s="34">
        <f t="shared" si="8"/>
        <v>862897.92800000031</v>
      </c>
      <c r="N15" s="34">
        <f t="shared" si="8"/>
        <v>899082.66900000034</v>
      </c>
      <c r="O15" s="34">
        <f t="shared" si="8"/>
        <v>947267.41000000038</v>
      </c>
      <c r="P15" s="34">
        <f t="shared" si="8"/>
        <v>1017018.4070000004</v>
      </c>
      <c r="Q15" s="34">
        <f t="shared" si="8"/>
        <v>1053769.4040000003</v>
      </c>
      <c r="R15" s="34">
        <f t="shared" si="8"/>
        <v>1090520.4010000003</v>
      </c>
      <c r="S15" s="34">
        <f t="shared" si="8"/>
        <v>1127271.3980000003</v>
      </c>
      <c r="T15" s="34">
        <f t="shared" si="8"/>
        <v>1164022.3950000003</v>
      </c>
      <c r="U15" s="34">
        <f t="shared" si="8"/>
        <v>1200773.3920000002</v>
      </c>
      <c r="V15" s="34">
        <f t="shared" si="8"/>
        <v>1237640.6450000003</v>
      </c>
      <c r="W15" s="34">
        <f t="shared" si="8"/>
        <v>1274507.8980000003</v>
      </c>
      <c r="X15" s="34">
        <f t="shared" si="8"/>
        <v>1311375.1510000003</v>
      </c>
      <c r="Y15" s="34">
        <f t="shared" si="8"/>
        <v>1350542.4040000003</v>
      </c>
      <c r="Z15" s="34">
        <f t="shared" si="8"/>
        <v>1388409.6570000004</v>
      </c>
      <c r="AA15" s="34">
        <f t="shared" si="8"/>
        <v>1558276.9100000004</v>
      </c>
      <c r="AB15" s="34">
        <f t="shared" si="8"/>
        <v>1650452.3760000004</v>
      </c>
      <c r="AC15" s="34">
        <f t="shared" si="8"/>
        <v>1691127.8420000004</v>
      </c>
      <c r="AD15" s="34">
        <f t="shared" si="8"/>
        <v>1731803.3080000004</v>
      </c>
      <c r="AE15" s="34">
        <f t="shared" si="8"/>
        <v>1792978.7740000004</v>
      </c>
      <c r="AF15" s="34">
        <f t="shared" si="8"/>
        <v>1954154.2400000005</v>
      </c>
      <c r="AG15" s="34">
        <f t="shared" si="8"/>
        <v>1995707.4390000005</v>
      </c>
      <c r="AH15" s="34">
        <f t="shared" si="8"/>
        <v>2037260.6380000005</v>
      </c>
      <c r="AI15" s="34">
        <f t="shared" si="8"/>
        <v>2078813.8370000005</v>
      </c>
      <c r="AJ15" s="34">
        <f t="shared" si="8"/>
        <v>2120367.0360000003</v>
      </c>
      <c r="AK15" s="34">
        <f t="shared" ref="AK15:BP15" si="9">AJ15+AK50</f>
        <v>2161920.2350000003</v>
      </c>
      <c r="AL15" s="34">
        <f t="shared" si="9"/>
        <v>2326983.4340000004</v>
      </c>
      <c r="AM15" s="34">
        <f t="shared" si="9"/>
        <v>2379991.8540000003</v>
      </c>
      <c r="AN15" s="34">
        <f t="shared" si="9"/>
        <v>2576062.7380000004</v>
      </c>
      <c r="AO15" s="34">
        <f t="shared" si="9"/>
        <v>2625133.6220000004</v>
      </c>
      <c r="AP15" s="34">
        <f t="shared" si="9"/>
        <v>2673204.5060000005</v>
      </c>
      <c r="AQ15" s="34">
        <f t="shared" si="9"/>
        <v>2823675.3900000006</v>
      </c>
      <c r="AR15" s="34">
        <f t="shared" si="9"/>
        <v>2981746.2740000007</v>
      </c>
      <c r="AS15" s="34">
        <f t="shared" si="9"/>
        <v>3030398.0420000008</v>
      </c>
      <c r="AT15" s="34">
        <f t="shared" si="9"/>
        <v>3079759.3680000007</v>
      </c>
      <c r="AU15" s="34">
        <f t="shared" si="9"/>
        <v>3228120.6940000006</v>
      </c>
      <c r="AV15" s="34">
        <f t="shared" si="9"/>
        <v>3389602.0200000005</v>
      </c>
      <c r="AW15" s="34">
        <f t="shared" si="9"/>
        <v>3541233.3460000004</v>
      </c>
      <c r="AX15" s="34">
        <f t="shared" si="9"/>
        <v>3748314.6720000003</v>
      </c>
      <c r="AY15" s="34">
        <f t="shared" si="9"/>
        <v>3895076.8820000002</v>
      </c>
      <c r="AZ15" s="34">
        <f t="shared" si="9"/>
        <v>4157764.3130000001</v>
      </c>
      <c r="BA15" s="34">
        <f t="shared" si="9"/>
        <v>4222851.7439999999</v>
      </c>
      <c r="BB15" s="34">
        <f t="shared" si="9"/>
        <v>4567410.5010000002</v>
      </c>
      <c r="BC15" s="34">
        <f t="shared" si="9"/>
        <v>5968273.5950000007</v>
      </c>
      <c r="BD15" s="34">
        <f t="shared" si="9"/>
        <v>6066786.6890000002</v>
      </c>
      <c r="BE15" s="34">
        <f t="shared" si="9"/>
        <v>6924061.551</v>
      </c>
      <c r="BF15" s="34">
        <f t="shared" si="9"/>
        <v>7022336.4129999997</v>
      </c>
      <c r="BG15" s="34">
        <f t="shared" si="9"/>
        <v>7122011.2749999994</v>
      </c>
      <c r="BH15" s="34">
        <f t="shared" si="9"/>
        <v>7980447.9049999993</v>
      </c>
      <c r="BI15" s="34">
        <f t="shared" si="9"/>
        <v>8078884.5349999992</v>
      </c>
      <c r="BJ15" s="34">
        <f t="shared" si="9"/>
        <v>8177321.1649999991</v>
      </c>
      <c r="BK15" s="34">
        <f t="shared" si="9"/>
        <v>8301957.794999999</v>
      </c>
      <c r="BL15" s="34">
        <f t="shared" si="9"/>
        <v>8892554.8669999987</v>
      </c>
      <c r="BM15" s="34">
        <f t="shared" si="9"/>
        <v>9181621.9389999993</v>
      </c>
      <c r="BN15" s="34">
        <f t="shared" si="9"/>
        <v>9876731.6629999988</v>
      </c>
      <c r="BO15" s="34">
        <f t="shared" si="9"/>
        <v>10000970.060999999</v>
      </c>
      <c r="BP15" s="34">
        <f t="shared" si="9"/>
        <v>10131208.458999999</v>
      </c>
      <c r="BQ15" s="34">
        <f t="shared" ref="BQ15:CU15" si="10">BP15+BQ50</f>
        <v>11777770.392999999</v>
      </c>
      <c r="BR15" s="34">
        <f t="shared" si="10"/>
        <v>11905332.327</v>
      </c>
      <c r="BS15" s="34">
        <f t="shared" si="10"/>
        <v>12213264.261</v>
      </c>
      <c r="BT15" s="34">
        <f t="shared" si="10"/>
        <v>13876819.731000001</v>
      </c>
      <c r="BU15" s="34">
        <f t="shared" si="10"/>
        <v>14020375.201000001</v>
      </c>
      <c r="BV15" s="34">
        <f t="shared" si="10"/>
        <v>14163930.671000002</v>
      </c>
      <c r="BW15" s="34">
        <f t="shared" si="10"/>
        <v>14360886.141000003</v>
      </c>
      <c r="BX15" s="34">
        <f t="shared" si="10"/>
        <v>14986877.274000002</v>
      </c>
      <c r="BY15" s="34">
        <f t="shared" si="10"/>
        <v>15138868.407000002</v>
      </c>
      <c r="BZ15" s="34">
        <f t="shared" si="10"/>
        <v>16140473.518000001</v>
      </c>
      <c r="CA15" s="34">
        <f t="shared" si="10"/>
        <v>16460191.640000001</v>
      </c>
      <c r="CB15" s="34">
        <f t="shared" si="10"/>
        <v>16626209.762</v>
      </c>
      <c r="CC15" s="34">
        <f t="shared" si="10"/>
        <v>19067713.188000001</v>
      </c>
      <c r="CD15" s="34">
        <f t="shared" si="10"/>
        <v>19230216.614</v>
      </c>
      <c r="CE15" s="34">
        <f t="shared" si="10"/>
        <v>19399720.039999999</v>
      </c>
      <c r="CF15" s="34">
        <f t="shared" si="10"/>
        <v>21844708.77</v>
      </c>
      <c r="CG15" s="34">
        <f t="shared" si="10"/>
        <v>22009697.5</v>
      </c>
      <c r="CH15" s="34">
        <f t="shared" si="10"/>
        <v>22174686.23</v>
      </c>
      <c r="CI15" s="34">
        <f t="shared" si="10"/>
        <v>22608494.960000001</v>
      </c>
      <c r="CJ15" s="34">
        <f t="shared" si="10"/>
        <v>23398784.574000001</v>
      </c>
      <c r="CK15" s="34">
        <f t="shared" si="10"/>
        <v>23586074.188000001</v>
      </c>
      <c r="CL15" s="34">
        <f t="shared" si="10"/>
        <v>24906849.106000002</v>
      </c>
      <c r="CM15" s="34">
        <f t="shared" si="10"/>
        <v>25085881.372000001</v>
      </c>
      <c r="CN15" s="34">
        <f t="shared" si="10"/>
        <v>25274913.638</v>
      </c>
      <c r="CO15" s="34">
        <f t="shared" si="10"/>
        <v>28498592.976</v>
      </c>
      <c r="CP15" s="34">
        <f t="shared" si="10"/>
        <v>28683272.313999999</v>
      </c>
      <c r="CQ15" s="34">
        <f t="shared" si="10"/>
        <v>29053371.651999999</v>
      </c>
      <c r="CR15" s="34">
        <f t="shared" si="10"/>
        <v>32294418.061999999</v>
      </c>
      <c r="CS15" s="34">
        <f t="shared" si="10"/>
        <v>32495464.471999999</v>
      </c>
      <c r="CT15" s="34">
        <f t="shared" si="10"/>
        <v>32696510.881999999</v>
      </c>
      <c r="CU15" s="34">
        <f t="shared" si="10"/>
        <v>33043757.291999999</v>
      </c>
    </row>
    <row r="16" spans="1:99" ht="15.75" customHeight="1">
      <c r="A16" s="84"/>
      <c r="B16" s="21"/>
      <c r="C16" s="21" t="s">
        <v>17</v>
      </c>
      <c r="D16" s="34">
        <f t="shared" ref="D16:D17" si="11">D12</f>
        <v>0</v>
      </c>
      <c r="E16" s="34">
        <f t="shared" ref="E16:BP17" si="12">D16+E12</f>
        <v>0</v>
      </c>
      <c r="F16" s="34">
        <f t="shared" si="12"/>
        <v>0</v>
      </c>
      <c r="G16" s="34">
        <f t="shared" si="12"/>
        <v>0</v>
      </c>
      <c r="H16" s="34">
        <f t="shared" si="12"/>
        <v>0</v>
      </c>
      <c r="I16" s="34">
        <f t="shared" si="12"/>
        <v>0</v>
      </c>
      <c r="J16" s="34">
        <f t="shared" si="12"/>
        <v>0</v>
      </c>
      <c r="K16" s="34">
        <f t="shared" si="12"/>
        <v>0</v>
      </c>
      <c r="L16" s="34">
        <f t="shared" si="12"/>
        <v>0</v>
      </c>
      <c r="M16" s="34">
        <f t="shared" si="12"/>
        <v>0</v>
      </c>
      <c r="N16" s="34">
        <f t="shared" si="12"/>
        <v>0</v>
      </c>
      <c r="O16" s="34">
        <f t="shared" si="12"/>
        <v>0</v>
      </c>
      <c r="P16" s="34">
        <f t="shared" si="12"/>
        <v>2422</v>
      </c>
      <c r="Q16" s="34">
        <f t="shared" si="12"/>
        <v>4844</v>
      </c>
      <c r="R16" s="34">
        <f t="shared" si="12"/>
        <v>7266</v>
      </c>
      <c r="S16" s="34">
        <f t="shared" si="12"/>
        <v>9688</v>
      </c>
      <c r="T16" s="34">
        <f t="shared" si="12"/>
        <v>12110</v>
      </c>
      <c r="U16" s="34">
        <f t="shared" si="12"/>
        <v>14532</v>
      </c>
      <c r="V16" s="34">
        <f t="shared" si="12"/>
        <v>19376</v>
      </c>
      <c r="W16" s="34">
        <f t="shared" si="12"/>
        <v>24220</v>
      </c>
      <c r="X16" s="34">
        <f t="shared" si="12"/>
        <v>29064</v>
      </c>
      <c r="Y16" s="34">
        <f t="shared" si="12"/>
        <v>33908</v>
      </c>
      <c r="Z16" s="34">
        <f t="shared" si="12"/>
        <v>38752</v>
      </c>
      <c r="AA16" s="34">
        <f t="shared" si="12"/>
        <v>43596</v>
      </c>
      <c r="AB16" s="34">
        <f t="shared" si="12"/>
        <v>185784</v>
      </c>
      <c r="AC16" s="34">
        <f t="shared" si="12"/>
        <v>197972</v>
      </c>
      <c r="AD16" s="34">
        <f t="shared" si="12"/>
        <v>210160</v>
      </c>
      <c r="AE16" s="34">
        <f t="shared" si="12"/>
        <v>222348</v>
      </c>
      <c r="AF16" s="34">
        <f t="shared" si="12"/>
        <v>234536</v>
      </c>
      <c r="AG16" s="34">
        <f t="shared" si="12"/>
        <v>384068</v>
      </c>
      <c r="AH16" s="34">
        <f t="shared" si="12"/>
        <v>403600</v>
      </c>
      <c r="AI16" s="34">
        <f t="shared" si="12"/>
        <v>423132</v>
      </c>
      <c r="AJ16" s="34">
        <f t="shared" si="12"/>
        <v>442664</v>
      </c>
      <c r="AK16" s="34">
        <f t="shared" si="12"/>
        <v>462196</v>
      </c>
      <c r="AL16" s="34">
        <f t="shared" si="12"/>
        <v>481728</v>
      </c>
      <c r="AM16" s="34">
        <f t="shared" si="12"/>
        <v>633760</v>
      </c>
      <c r="AN16" s="34">
        <f t="shared" si="12"/>
        <v>652885.6</v>
      </c>
      <c r="AO16" s="34">
        <f t="shared" si="12"/>
        <v>672011.2</v>
      </c>
      <c r="AP16" s="34">
        <f t="shared" si="12"/>
        <v>691136.79999999993</v>
      </c>
      <c r="AQ16" s="34">
        <f t="shared" si="12"/>
        <v>710262.39999999991</v>
      </c>
      <c r="AR16" s="34">
        <f t="shared" si="12"/>
        <v>729387.99999999988</v>
      </c>
      <c r="AS16" s="34">
        <f t="shared" si="12"/>
        <v>1011606.3999999999</v>
      </c>
      <c r="AT16" s="34">
        <f t="shared" si="12"/>
        <v>1050224.7999999998</v>
      </c>
      <c r="AU16" s="34">
        <f t="shared" si="12"/>
        <v>1088843.1999999997</v>
      </c>
      <c r="AV16" s="34">
        <f t="shared" si="12"/>
        <v>1127461.5999999996</v>
      </c>
      <c r="AW16" s="34">
        <f t="shared" si="12"/>
        <v>1166079.9999999995</v>
      </c>
      <c r="AX16" s="34">
        <f t="shared" si="12"/>
        <v>1204698.3999999994</v>
      </c>
      <c r="AY16" s="34">
        <f t="shared" si="12"/>
        <v>1719442.3999999994</v>
      </c>
      <c r="AZ16" s="34">
        <f t="shared" si="12"/>
        <v>1929592.7999999993</v>
      </c>
      <c r="BA16" s="34">
        <f t="shared" si="12"/>
        <v>2009743.1999999993</v>
      </c>
      <c r="BB16" s="34">
        <f t="shared" si="12"/>
        <v>2484532.7999999993</v>
      </c>
      <c r="BC16" s="34">
        <f t="shared" si="12"/>
        <v>2593922.3999999994</v>
      </c>
      <c r="BD16" s="34">
        <f t="shared" si="12"/>
        <v>2703311.9999999995</v>
      </c>
      <c r="BE16" s="34">
        <f t="shared" si="12"/>
        <v>3764952.8</v>
      </c>
      <c r="BF16" s="34">
        <f t="shared" si="12"/>
        <v>3946593.5999999996</v>
      </c>
      <c r="BG16" s="34">
        <f t="shared" si="12"/>
        <v>4128234.3999999994</v>
      </c>
      <c r="BH16" s="34">
        <f t="shared" si="12"/>
        <v>5262126.3999999994</v>
      </c>
      <c r="BI16" s="34">
        <f t="shared" si="12"/>
        <v>5516018.3999999994</v>
      </c>
      <c r="BJ16" s="34">
        <f t="shared" si="12"/>
        <v>5769910.3999999994</v>
      </c>
      <c r="BK16" s="34">
        <f t="shared" si="12"/>
        <v>6023802.3999999994</v>
      </c>
      <c r="BL16" s="34">
        <f t="shared" si="12"/>
        <v>6548507.1999999993</v>
      </c>
      <c r="BM16" s="34">
        <f t="shared" si="12"/>
        <v>6813211.9999999991</v>
      </c>
      <c r="BN16" s="34">
        <f t="shared" si="12"/>
        <v>7867195.1999999993</v>
      </c>
      <c r="BO16" s="34">
        <f t="shared" si="12"/>
        <v>8190378.3999999994</v>
      </c>
      <c r="BP16" s="34">
        <f t="shared" si="12"/>
        <v>8513561.5999999996</v>
      </c>
      <c r="BQ16" s="34">
        <f t="shared" ref="BQ16:CU17" si="13">BP16+BQ12</f>
        <v>10741247.199999999</v>
      </c>
      <c r="BR16" s="34">
        <f t="shared" si="13"/>
        <v>11208932.799999999</v>
      </c>
      <c r="BS16" s="34">
        <f t="shared" si="13"/>
        <v>11676618.399999999</v>
      </c>
      <c r="BT16" s="34">
        <f t="shared" si="13"/>
        <v>14048806.399999999</v>
      </c>
      <c r="BU16" s="34">
        <f t="shared" si="13"/>
        <v>14660994.399999999</v>
      </c>
      <c r="BV16" s="34">
        <f t="shared" si="13"/>
        <v>15273182.399999999</v>
      </c>
      <c r="BW16" s="34">
        <f t="shared" si="13"/>
        <v>15885370.399999999</v>
      </c>
      <c r="BX16" s="34">
        <f t="shared" si="13"/>
        <v>16873777.599999998</v>
      </c>
      <c r="BY16" s="34">
        <f t="shared" si="13"/>
        <v>17502184.799999997</v>
      </c>
      <c r="BZ16" s="34">
        <f t="shared" si="13"/>
        <v>19314509.599999998</v>
      </c>
      <c r="CA16" s="34">
        <f t="shared" si="13"/>
        <v>20030634.399999999</v>
      </c>
      <c r="CB16" s="34">
        <f t="shared" si="13"/>
        <v>20746759.199999999</v>
      </c>
      <c r="CC16" s="34">
        <f t="shared" si="13"/>
        <v>24319637.599999998</v>
      </c>
      <c r="CD16" s="34">
        <f t="shared" si="13"/>
        <v>25252515.999999996</v>
      </c>
      <c r="CE16" s="34">
        <f t="shared" si="13"/>
        <v>26185394.399999995</v>
      </c>
      <c r="CF16" s="34">
        <f t="shared" si="13"/>
        <v>29975026.399999995</v>
      </c>
      <c r="CG16" s="34">
        <f t="shared" si="13"/>
        <v>31124658.399999995</v>
      </c>
      <c r="CH16" s="34">
        <f t="shared" si="13"/>
        <v>32274290.399999995</v>
      </c>
      <c r="CI16" s="34">
        <f t="shared" si="13"/>
        <v>33423922.399999995</v>
      </c>
      <c r="CJ16" s="34">
        <f t="shared" si="13"/>
        <v>35075179.999999993</v>
      </c>
      <c r="CK16" s="34">
        <f t="shared" si="13"/>
        <v>36246437.599999994</v>
      </c>
      <c r="CL16" s="34">
        <f t="shared" si="13"/>
        <v>38996251.999999993</v>
      </c>
      <c r="CM16" s="34">
        <f t="shared" si="13"/>
        <v>40284466.399999991</v>
      </c>
      <c r="CN16" s="34">
        <f t="shared" si="13"/>
        <v>41572680.79999999</v>
      </c>
      <c r="CO16" s="34">
        <f t="shared" si="13"/>
        <v>46669899.999999993</v>
      </c>
      <c r="CP16" s="34">
        <f t="shared" si="13"/>
        <v>48247119.199999996</v>
      </c>
      <c r="CQ16" s="34">
        <f t="shared" si="13"/>
        <v>49824338.399999999</v>
      </c>
      <c r="CR16" s="34">
        <f t="shared" si="13"/>
        <v>55210562.399999999</v>
      </c>
      <c r="CS16" s="34">
        <f t="shared" si="13"/>
        <v>57076786.399999999</v>
      </c>
      <c r="CT16" s="34">
        <f t="shared" si="13"/>
        <v>58943010.399999999</v>
      </c>
      <c r="CU16" s="34">
        <f t="shared" si="13"/>
        <v>60809234.399999999</v>
      </c>
    </row>
    <row r="17" spans="1:100" ht="15.75" customHeight="1">
      <c r="A17" s="84"/>
      <c r="B17" s="21"/>
      <c r="C17" s="21" t="s">
        <v>18</v>
      </c>
      <c r="D17" s="34">
        <f t="shared" si="11"/>
        <v>-544360</v>
      </c>
      <c r="E17" s="34">
        <f t="shared" si="12"/>
        <v>-573720</v>
      </c>
      <c r="F17" s="34">
        <f t="shared" si="12"/>
        <v>-609804.74100000004</v>
      </c>
      <c r="G17" s="34">
        <f t="shared" si="12"/>
        <v>-645889.48200000008</v>
      </c>
      <c r="H17" s="34">
        <f t="shared" si="12"/>
        <v>-681974.22300000011</v>
      </c>
      <c r="I17" s="34">
        <f t="shared" si="12"/>
        <v>-718158.96400000015</v>
      </c>
      <c r="J17" s="34">
        <f t="shared" si="12"/>
        <v>-754343.70500000019</v>
      </c>
      <c r="K17" s="34">
        <f t="shared" si="12"/>
        <v>-790528.44600000023</v>
      </c>
      <c r="L17" s="34">
        <f t="shared" si="12"/>
        <v>-826713.18700000027</v>
      </c>
      <c r="M17" s="34">
        <f t="shared" si="12"/>
        <v>-862897.92800000031</v>
      </c>
      <c r="N17" s="34">
        <f t="shared" si="12"/>
        <v>-899082.66900000034</v>
      </c>
      <c r="O17" s="34">
        <f t="shared" si="12"/>
        <v>-947267.41000000038</v>
      </c>
      <c r="P17" s="34">
        <f t="shared" si="12"/>
        <v>-1014596.4070000004</v>
      </c>
      <c r="Q17" s="34">
        <f t="shared" si="12"/>
        <v>-1048925.4040000003</v>
      </c>
      <c r="R17" s="34">
        <f t="shared" si="12"/>
        <v>-1083254.4010000003</v>
      </c>
      <c r="S17" s="34">
        <f t="shared" si="12"/>
        <v>-1117583.3980000003</v>
      </c>
      <c r="T17" s="34">
        <f t="shared" si="12"/>
        <v>-1151912.3950000003</v>
      </c>
      <c r="U17" s="34">
        <f t="shared" si="12"/>
        <v>-1186241.3920000002</v>
      </c>
      <c r="V17" s="34">
        <f t="shared" si="12"/>
        <v>-1218264.6450000003</v>
      </c>
      <c r="W17" s="34">
        <f t="shared" si="12"/>
        <v>-1250287.8980000003</v>
      </c>
      <c r="X17" s="34">
        <f t="shared" si="12"/>
        <v>-1282311.1510000003</v>
      </c>
      <c r="Y17" s="34">
        <f t="shared" si="12"/>
        <v>-1316634.4040000003</v>
      </c>
      <c r="Z17" s="34">
        <f t="shared" si="12"/>
        <v>-1349657.6570000004</v>
      </c>
      <c r="AA17" s="34">
        <f t="shared" si="12"/>
        <v>-1514680.9100000004</v>
      </c>
      <c r="AB17" s="34">
        <f t="shared" si="12"/>
        <v>-1464668.3760000004</v>
      </c>
      <c r="AC17" s="34">
        <f t="shared" si="12"/>
        <v>-1493155.8420000004</v>
      </c>
      <c r="AD17" s="34">
        <f t="shared" si="12"/>
        <v>-1521643.3080000004</v>
      </c>
      <c r="AE17" s="34">
        <f t="shared" si="12"/>
        <v>-1570630.7740000004</v>
      </c>
      <c r="AF17" s="34">
        <f t="shared" si="12"/>
        <v>-1719618.2400000005</v>
      </c>
      <c r="AG17" s="34">
        <f t="shared" si="12"/>
        <v>-1611639.4390000005</v>
      </c>
      <c r="AH17" s="34">
        <f t="shared" si="12"/>
        <v>-1633660.6380000005</v>
      </c>
      <c r="AI17" s="34">
        <f t="shared" si="12"/>
        <v>-1655681.8370000005</v>
      </c>
      <c r="AJ17" s="34">
        <f t="shared" si="12"/>
        <v>-1677703.0360000005</v>
      </c>
      <c r="AK17" s="34">
        <f t="shared" si="12"/>
        <v>-1699724.2350000006</v>
      </c>
      <c r="AL17" s="34">
        <f t="shared" si="12"/>
        <v>-1845255.4340000006</v>
      </c>
      <c r="AM17" s="34">
        <f t="shared" si="12"/>
        <v>-1746231.8540000005</v>
      </c>
      <c r="AN17" s="34">
        <f t="shared" si="12"/>
        <v>-1923177.1380000005</v>
      </c>
      <c r="AO17" s="34">
        <f t="shared" si="12"/>
        <v>-1953122.4220000005</v>
      </c>
      <c r="AP17" s="34">
        <f t="shared" si="12"/>
        <v>-1982067.7060000005</v>
      </c>
      <c r="AQ17" s="34">
        <f t="shared" si="12"/>
        <v>-2113412.9900000002</v>
      </c>
      <c r="AR17" s="34">
        <f t="shared" si="12"/>
        <v>-2252358.2740000002</v>
      </c>
      <c r="AS17" s="34">
        <f t="shared" si="12"/>
        <v>-2018791.6420000002</v>
      </c>
      <c r="AT17" s="34">
        <f t="shared" si="12"/>
        <v>-2029534.5680000002</v>
      </c>
      <c r="AU17" s="34">
        <f t="shared" si="12"/>
        <v>-2139277.4940000004</v>
      </c>
      <c r="AV17" s="34">
        <f t="shared" si="12"/>
        <v>-2262140.4200000004</v>
      </c>
      <c r="AW17" s="34">
        <f t="shared" si="12"/>
        <v>-2375153.3460000004</v>
      </c>
      <c r="AX17" s="34">
        <f t="shared" si="12"/>
        <v>-2543616.2720000003</v>
      </c>
      <c r="AY17" s="34">
        <f t="shared" si="12"/>
        <v>-2175634.4820000003</v>
      </c>
      <c r="AZ17" s="34">
        <f t="shared" si="12"/>
        <v>-2228171.5130000003</v>
      </c>
      <c r="BA17" s="34">
        <f t="shared" si="12"/>
        <v>-2213108.5440000002</v>
      </c>
      <c r="BB17" s="34">
        <f t="shared" si="12"/>
        <v>-2082877.7010000004</v>
      </c>
      <c r="BC17" s="34">
        <f t="shared" si="12"/>
        <v>-3374351.1950000003</v>
      </c>
      <c r="BD17" s="34">
        <f t="shared" si="12"/>
        <v>-3363474.6890000002</v>
      </c>
      <c r="BE17" s="34">
        <f t="shared" si="12"/>
        <v>-3159108.7510000002</v>
      </c>
      <c r="BF17" s="34">
        <f t="shared" si="12"/>
        <v>-3075742.8130000001</v>
      </c>
      <c r="BG17" s="34">
        <f t="shared" si="12"/>
        <v>-2993776.875</v>
      </c>
      <c r="BH17" s="34">
        <f t="shared" si="12"/>
        <v>-2718321.5049999999</v>
      </c>
      <c r="BI17" s="34">
        <f t="shared" si="12"/>
        <v>-2562866.1349999998</v>
      </c>
      <c r="BJ17" s="34">
        <f t="shared" si="12"/>
        <v>-2407410.7649999997</v>
      </c>
      <c r="BK17" s="34">
        <f t="shared" si="12"/>
        <v>-2278155.3949999996</v>
      </c>
      <c r="BL17" s="34">
        <f t="shared" si="12"/>
        <v>-2344047.6669999994</v>
      </c>
      <c r="BM17" s="34">
        <f t="shared" si="12"/>
        <v>-2368409.9389999993</v>
      </c>
      <c r="BN17" s="34">
        <f t="shared" si="12"/>
        <v>-2009536.4629999995</v>
      </c>
      <c r="BO17" s="34">
        <f t="shared" si="12"/>
        <v>-1810591.6609999994</v>
      </c>
      <c r="BP17" s="34">
        <f t="shared" si="12"/>
        <v>-1617646.8589999992</v>
      </c>
      <c r="BQ17" s="34">
        <f t="shared" si="13"/>
        <v>-1036523.192999999</v>
      </c>
      <c r="BR17" s="34">
        <f t="shared" si="13"/>
        <v>-696399.52699999907</v>
      </c>
      <c r="BS17" s="34">
        <f t="shared" si="13"/>
        <v>-536645.8609999991</v>
      </c>
      <c r="BT17" s="34">
        <f t="shared" si="13"/>
        <v>171986.66900000093</v>
      </c>
      <c r="BU17" s="34">
        <f t="shared" si="13"/>
        <v>640619.19900000095</v>
      </c>
      <c r="BV17" s="34">
        <f t="shared" si="13"/>
        <v>1109251.729000001</v>
      </c>
      <c r="BW17" s="34">
        <f t="shared" si="13"/>
        <v>1524484.259000001</v>
      </c>
      <c r="BX17" s="34">
        <f t="shared" si="13"/>
        <v>1886900.3260000008</v>
      </c>
      <c r="BY17" s="34">
        <f t="shared" si="13"/>
        <v>2363316.3930000006</v>
      </c>
      <c r="BZ17" s="34">
        <f t="shared" si="13"/>
        <v>3174036.0820000004</v>
      </c>
      <c r="CA17" s="34">
        <f t="shared" si="13"/>
        <v>3570442.7600000007</v>
      </c>
      <c r="CB17" s="34">
        <f t="shared" si="13"/>
        <v>4120549.438000001</v>
      </c>
      <c r="CC17" s="34">
        <f t="shared" si="13"/>
        <v>5251924.4120000005</v>
      </c>
      <c r="CD17" s="34">
        <f t="shared" si="13"/>
        <v>6022299.3859999999</v>
      </c>
      <c r="CE17" s="34">
        <f t="shared" si="13"/>
        <v>6785674.3599999994</v>
      </c>
      <c r="CF17" s="34">
        <f t="shared" si="13"/>
        <v>8130317.629999999</v>
      </c>
      <c r="CG17" s="34">
        <f t="shared" si="13"/>
        <v>9114960.8999999985</v>
      </c>
      <c r="CH17" s="34">
        <f t="shared" si="13"/>
        <v>10099604.169999998</v>
      </c>
      <c r="CI17" s="34">
        <f t="shared" si="13"/>
        <v>10815427.439999998</v>
      </c>
      <c r="CJ17" s="34">
        <f t="shared" si="13"/>
        <v>11676395.425999997</v>
      </c>
      <c r="CK17" s="34">
        <f t="shared" si="13"/>
        <v>12660363.411999997</v>
      </c>
      <c r="CL17" s="34">
        <f t="shared" si="13"/>
        <v>14089402.893999998</v>
      </c>
      <c r="CM17" s="34">
        <f t="shared" si="13"/>
        <v>15198585.027999997</v>
      </c>
      <c r="CN17" s="34">
        <f t="shared" si="13"/>
        <v>16297767.161999997</v>
      </c>
      <c r="CO17" s="34">
        <f t="shared" si="13"/>
        <v>18171307.023999996</v>
      </c>
      <c r="CP17" s="34">
        <f t="shared" si="13"/>
        <v>19563846.885999996</v>
      </c>
      <c r="CQ17" s="34">
        <f t="shared" si="13"/>
        <v>20770966.747999996</v>
      </c>
      <c r="CR17" s="34">
        <f t="shared" si="13"/>
        <v>22916144.337999996</v>
      </c>
      <c r="CS17" s="34">
        <f t="shared" si="13"/>
        <v>24581321.927999996</v>
      </c>
      <c r="CT17" s="34">
        <f t="shared" si="13"/>
        <v>26246499.517999995</v>
      </c>
      <c r="CU17" s="34">
        <f>CT17+CU13</f>
        <v>27765477.107999995</v>
      </c>
    </row>
    <row r="18" spans="1:100" ht="15.75" customHeight="1">
      <c r="A18" s="8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100" ht="15.75" customHeight="1">
      <c r="A19" s="84"/>
      <c r="B19" s="30"/>
      <c r="C19" s="31" t="s">
        <v>19</v>
      </c>
      <c r="D19" s="35">
        <f t="shared" ref="D19:AI19" si="14">SUM(D20:D23)</f>
        <v>0</v>
      </c>
      <c r="E19" s="35">
        <f t="shared" si="14"/>
        <v>0</v>
      </c>
      <c r="F19" s="35">
        <f t="shared" si="14"/>
        <v>0</v>
      </c>
      <c r="G19" s="35">
        <f t="shared" si="14"/>
        <v>0</v>
      </c>
      <c r="H19" s="35">
        <f t="shared" si="14"/>
        <v>0</v>
      </c>
      <c r="I19" s="35">
        <f t="shared" si="14"/>
        <v>0</v>
      </c>
      <c r="J19" s="35">
        <f t="shared" si="14"/>
        <v>0</v>
      </c>
      <c r="K19" s="35">
        <f t="shared" si="14"/>
        <v>0</v>
      </c>
      <c r="L19" s="35">
        <f t="shared" si="14"/>
        <v>0</v>
      </c>
      <c r="M19" s="35">
        <f t="shared" si="14"/>
        <v>0</v>
      </c>
      <c r="N19" s="35">
        <f t="shared" si="14"/>
        <v>0</v>
      </c>
      <c r="O19" s="35">
        <f t="shared" si="14"/>
        <v>0</v>
      </c>
      <c r="P19" s="35">
        <f t="shared" si="14"/>
        <v>2422</v>
      </c>
      <c r="Q19" s="35">
        <f t="shared" si="14"/>
        <v>2422</v>
      </c>
      <c r="R19" s="35">
        <f t="shared" si="14"/>
        <v>2422</v>
      </c>
      <c r="S19" s="35">
        <f t="shared" si="14"/>
        <v>2422</v>
      </c>
      <c r="T19" s="35">
        <f t="shared" si="14"/>
        <v>2422</v>
      </c>
      <c r="U19" s="35">
        <f t="shared" si="14"/>
        <v>2422</v>
      </c>
      <c r="V19" s="35">
        <f t="shared" si="14"/>
        <v>4844</v>
      </c>
      <c r="W19" s="35">
        <f t="shared" si="14"/>
        <v>4844</v>
      </c>
      <c r="X19" s="35">
        <f t="shared" si="14"/>
        <v>4844</v>
      </c>
      <c r="Y19" s="35">
        <f t="shared" si="14"/>
        <v>4844</v>
      </c>
      <c r="Z19" s="35">
        <f t="shared" si="14"/>
        <v>4844</v>
      </c>
      <c r="AA19" s="35">
        <f t="shared" si="14"/>
        <v>4844</v>
      </c>
      <c r="AB19" s="35">
        <f t="shared" si="14"/>
        <v>142188</v>
      </c>
      <c r="AC19" s="35">
        <f t="shared" si="14"/>
        <v>12188</v>
      </c>
      <c r="AD19" s="35">
        <f t="shared" si="14"/>
        <v>12188</v>
      </c>
      <c r="AE19" s="35">
        <f t="shared" si="14"/>
        <v>12188</v>
      </c>
      <c r="AF19" s="35">
        <f t="shared" si="14"/>
        <v>12188</v>
      </c>
      <c r="AG19" s="35">
        <f t="shared" si="14"/>
        <v>149532</v>
      </c>
      <c r="AH19" s="35">
        <f t="shared" si="14"/>
        <v>19532</v>
      </c>
      <c r="AI19" s="35">
        <f t="shared" si="14"/>
        <v>19532</v>
      </c>
      <c r="AJ19" s="35">
        <f t="shared" ref="AJ19:BO19" si="15">SUM(AJ20:AJ23)</f>
        <v>19532</v>
      </c>
      <c r="AK19" s="35">
        <f t="shared" si="15"/>
        <v>19532</v>
      </c>
      <c r="AL19" s="35">
        <f t="shared" si="15"/>
        <v>19532</v>
      </c>
      <c r="AM19" s="35">
        <f t="shared" si="15"/>
        <v>152032</v>
      </c>
      <c r="AN19" s="35">
        <f t="shared" si="15"/>
        <v>19125.599999999999</v>
      </c>
      <c r="AO19" s="35">
        <f t="shared" si="15"/>
        <v>19125.599999999999</v>
      </c>
      <c r="AP19" s="35">
        <f t="shared" si="15"/>
        <v>19125.599999999999</v>
      </c>
      <c r="AQ19" s="35">
        <f t="shared" si="15"/>
        <v>19125.599999999999</v>
      </c>
      <c r="AR19" s="35">
        <f t="shared" si="15"/>
        <v>19125.599999999999</v>
      </c>
      <c r="AS19" s="35">
        <f t="shared" si="15"/>
        <v>282218.40000000002</v>
      </c>
      <c r="AT19" s="35">
        <f t="shared" si="15"/>
        <v>38618.399999999994</v>
      </c>
      <c r="AU19" s="35">
        <f t="shared" si="15"/>
        <v>38618.399999999994</v>
      </c>
      <c r="AV19" s="35">
        <f t="shared" si="15"/>
        <v>38618.399999999994</v>
      </c>
      <c r="AW19" s="35">
        <f t="shared" si="15"/>
        <v>38618.399999999994</v>
      </c>
      <c r="AX19" s="35">
        <f t="shared" si="15"/>
        <v>38618.399999999994</v>
      </c>
      <c r="AY19" s="35">
        <f t="shared" si="15"/>
        <v>514744</v>
      </c>
      <c r="AZ19" s="35">
        <f t="shared" si="15"/>
        <v>210150.39999999999</v>
      </c>
      <c r="BA19" s="35">
        <f t="shared" si="15"/>
        <v>80150.399999999994</v>
      </c>
      <c r="BB19" s="35">
        <f t="shared" si="15"/>
        <v>474789.6</v>
      </c>
      <c r="BC19" s="35">
        <f t="shared" si="15"/>
        <v>109389.6</v>
      </c>
      <c r="BD19" s="35">
        <f t="shared" si="15"/>
        <v>109389.6</v>
      </c>
      <c r="BE19" s="35">
        <f t="shared" si="15"/>
        <v>1061640.8</v>
      </c>
      <c r="BF19" s="35">
        <f t="shared" si="15"/>
        <v>181640.8</v>
      </c>
      <c r="BG19" s="35">
        <f t="shared" si="15"/>
        <v>181640.8</v>
      </c>
      <c r="BH19" s="35">
        <f t="shared" si="15"/>
        <v>1133892</v>
      </c>
      <c r="BI19" s="35">
        <f t="shared" si="15"/>
        <v>253892</v>
      </c>
      <c r="BJ19" s="35">
        <f t="shared" si="15"/>
        <v>253892</v>
      </c>
      <c r="BK19" s="35">
        <f t="shared" si="15"/>
        <v>253892</v>
      </c>
      <c r="BL19" s="35">
        <f t="shared" si="15"/>
        <v>524704.80000000005</v>
      </c>
      <c r="BM19" s="35">
        <f t="shared" si="15"/>
        <v>264704.8</v>
      </c>
      <c r="BN19" s="35">
        <f t="shared" si="15"/>
        <v>1053983.2</v>
      </c>
      <c r="BO19" s="35">
        <f t="shared" si="15"/>
        <v>323183.2</v>
      </c>
      <c r="BP19" s="35">
        <f t="shared" ref="BP19:CU19" si="16">SUM(BP20:BP23)</f>
        <v>323183.2</v>
      </c>
      <c r="BQ19" s="35">
        <f t="shared" si="16"/>
        <v>2227685.6</v>
      </c>
      <c r="BR19" s="35">
        <f t="shared" si="16"/>
        <v>467685.6</v>
      </c>
      <c r="BS19" s="35">
        <f t="shared" si="16"/>
        <v>467685.6</v>
      </c>
      <c r="BT19" s="35">
        <f t="shared" si="16"/>
        <v>2372188</v>
      </c>
      <c r="BU19" s="35">
        <f t="shared" si="16"/>
        <v>612188</v>
      </c>
      <c r="BV19" s="35">
        <f t="shared" si="16"/>
        <v>612188</v>
      </c>
      <c r="BW19" s="35">
        <f t="shared" si="16"/>
        <v>612188</v>
      </c>
      <c r="BX19" s="35">
        <f t="shared" si="16"/>
        <v>988407.2</v>
      </c>
      <c r="BY19" s="35">
        <f t="shared" si="16"/>
        <v>628407.19999999995</v>
      </c>
      <c r="BZ19" s="35">
        <f t="shared" si="16"/>
        <v>1812324.8</v>
      </c>
      <c r="CA19" s="35">
        <f t="shared" si="16"/>
        <v>716124.8</v>
      </c>
      <c r="CB19" s="35">
        <f t="shared" si="16"/>
        <v>716124.8</v>
      </c>
      <c r="CC19" s="35">
        <f t="shared" si="16"/>
        <v>3572878.4</v>
      </c>
      <c r="CD19" s="35">
        <f t="shared" si="16"/>
        <v>932878.39999999991</v>
      </c>
      <c r="CE19" s="35">
        <f t="shared" si="16"/>
        <v>932878.39999999991</v>
      </c>
      <c r="CF19" s="35">
        <f t="shared" si="16"/>
        <v>3789632</v>
      </c>
      <c r="CG19" s="35">
        <f t="shared" si="16"/>
        <v>1149632</v>
      </c>
      <c r="CH19" s="35">
        <f t="shared" si="16"/>
        <v>1149632</v>
      </c>
      <c r="CI19" s="35">
        <f t="shared" si="16"/>
        <v>1149632</v>
      </c>
      <c r="CJ19" s="35">
        <f t="shared" si="16"/>
        <v>1651257.6</v>
      </c>
      <c r="CK19" s="35">
        <f t="shared" si="16"/>
        <v>1171257.6000000001</v>
      </c>
      <c r="CL19" s="35">
        <f t="shared" si="16"/>
        <v>2749814.4</v>
      </c>
      <c r="CM19" s="35">
        <f t="shared" si="16"/>
        <v>1288214.3999999999</v>
      </c>
      <c r="CN19" s="35">
        <f t="shared" si="16"/>
        <v>1288214.3999999999</v>
      </c>
      <c r="CO19" s="35">
        <f t="shared" si="16"/>
        <v>5097219.2</v>
      </c>
      <c r="CP19" s="35">
        <f t="shared" si="16"/>
        <v>1577219.2</v>
      </c>
      <c r="CQ19" s="35">
        <f t="shared" si="16"/>
        <v>1577219.2</v>
      </c>
      <c r="CR19" s="35">
        <f t="shared" si="16"/>
        <v>5386224</v>
      </c>
      <c r="CS19" s="35">
        <f t="shared" si="16"/>
        <v>1866224</v>
      </c>
      <c r="CT19" s="35">
        <f t="shared" si="16"/>
        <v>1866224</v>
      </c>
      <c r="CU19" s="35">
        <f t="shared" si="16"/>
        <v>1866224</v>
      </c>
      <c r="CV19" s="36"/>
    </row>
    <row r="20" spans="1:100" ht="15.75" customHeight="1" outlineLevel="1">
      <c r="A20" s="86"/>
      <c r="B20" s="37"/>
      <c r="C20" s="37" t="s">
        <v>20</v>
      </c>
      <c r="D20" s="37">
        <f>D164</f>
        <v>0</v>
      </c>
      <c r="E20" s="37">
        <f t="shared" ref="E20:BP20" si="17">E164</f>
        <v>0</v>
      </c>
      <c r="F20" s="37">
        <f t="shared" si="17"/>
        <v>0</v>
      </c>
      <c r="G20" s="37">
        <f t="shared" si="17"/>
        <v>0</v>
      </c>
      <c r="H20" s="37">
        <f t="shared" si="17"/>
        <v>0</v>
      </c>
      <c r="I20" s="37">
        <f t="shared" si="17"/>
        <v>0</v>
      </c>
      <c r="J20" s="37">
        <f t="shared" si="17"/>
        <v>0</v>
      </c>
      <c r="K20" s="37">
        <f t="shared" si="17"/>
        <v>0</v>
      </c>
      <c r="L20" s="37">
        <f t="shared" si="17"/>
        <v>0</v>
      </c>
      <c r="M20" s="37">
        <f t="shared" si="17"/>
        <v>0</v>
      </c>
      <c r="N20" s="37">
        <f t="shared" si="17"/>
        <v>0</v>
      </c>
      <c r="O20" s="37">
        <f t="shared" si="17"/>
        <v>0</v>
      </c>
      <c r="P20" s="37">
        <f t="shared" si="17"/>
        <v>2422</v>
      </c>
      <c r="Q20" s="37">
        <f t="shared" si="17"/>
        <v>2422</v>
      </c>
      <c r="R20" s="37">
        <f t="shared" si="17"/>
        <v>2422</v>
      </c>
      <c r="S20" s="37">
        <f t="shared" si="17"/>
        <v>2422</v>
      </c>
      <c r="T20" s="37">
        <f t="shared" si="17"/>
        <v>2422</v>
      </c>
      <c r="U20" s="37">
        <f t="shared" si="17"/>
        <v>2422</v>
      </c>
      <c r="V20" s="37">
        <f t="shared" si="17"/>
        <v>4844</v>
      </c>
      <c r="W20" s="37">
        <f t="shared" si="17"/>
        <v>4844</v>
      </c>
      <c r="X20" s="37">
        <f t="shared" si="17"/>
        <v>4844</v>
      </c>
      <c r="Y20" s="37">
        <f t="shared" si="17"/>
        <v>4844</v>
      </c>
      <c r="Z20" s="37">
        <f t="shared" si="17"/>
        <v>4844</v>
      </c>
      <c r="AA20" s="37">
        <f t="shared" si="17"/>
        <v>4844</v>
      </c>
      <c r="AB20" s="37">
        <f t="shared" si="17"/>
        <v>9688</v>
      </c>
      <c r="AC20" s="37">
        <f t="shared" si="17"/>
        <v>9688</v>
      </c>
      <c r="AD20" s="37">
        <f t="shared" si="17"/>
        <v>9688</v>
      </c>
      <c r="AE20" s="37">
        <f t="shared" si="17"/>
        <v>9688</v>
      </c>
      <c r="AF20" s="37">
        <f t="shared" si="17"/>
        <v>9688</v>
      </c>
      <c r="AG20" s="37">
        <f t="shared" si="17"/>
        <v>14532</v>
      </c>
      <c r="AH20" s="37">
        <f t="shared" si="17"/>
        <v>14532</v>
      </c>
      <c r="AI20" s="37">
        <f t="shared" si="17"/>
        <v>14532</v>
      </c>
      <c r="AJ20" s="37">
        <f t="shared" si="17"/>
        <v>14532</v>
      </c>
      <c r="AK20" s="37">
        <f t="shared" si="17"/>
        <v>14532</v>
      </c>
      <c r="AL20" s="37">
        <f t="shared" si="17"/>
        <v>14532</v>
      </c>
      <c r="AM20" s="37">
        <f t="shared" si="17"/>
        <v>14532</v>
      </c>
      <c r="AN20" s="37">
        <f t="shared" si="17"/>
        <v>11625.6</v>
      </c>
      <c r="AO20" s="37">
        <f t="shared" si="17"/>
        <v>11625.6</v>
      </c>
      <c r="AP20" s="37">
        <f t="shared" si="17"/>
        <v>11625.6</v>
      </c>
      <c r="AQ20" s="37">
        <f t="shared" si="17"/>
        <v>11625.6</v>
      </c>
      <c r="AR20" s="37">
        <f t="shared" si="17"/>
        <v>11625.6</v>
      </c>
      <c r="AS20" s="37">
        <f t="shared" si="17"/>
        <v>17438.399999999998</v>
      </c>
      <c r="AT20" s="37">
        <f t="shared" si="17"/>
        <v>17438.399999999998</v>
      </c>
      <c r="AU20" s="37">
        <f t="shared" si="17"/>
        <v>17438.399999999998</v>
      </c>
      <c r="AV20" s="37">
        <f t="shared" si="17"/>
        <v>17438.399999999998</v>
      </c>
      <c r="AW20" s="37">
        <f t="shared" si="17"/>
        <v>17438.399999999998</v>
      </c>
      <c r="AX20" s="37">
        <f t="shared" si="17"/>
        <v>17438.399999999998</v>
      </c>
      <c r="AY20" s="37">
        <f t="shared" si="17"/>
        <v>29064</v>
      </c>
      <c r="AZ20" s="37">
        <f t="shared" si="17"/>
        <v>31970.399999999998</v>
      </c>
      <c r="BA20" s="37">
        <f t="shared" si="17"/>
        <v>31970.399999999998</v>
      </c>
      <c r="BB20" s="37">
        <f t="shared" si="17"/>
        <v>40689.599999999999</v>
      </c>
      <c r="BC20" s="37">
        <f t="shared" si="17"/>
        <v>40689.599999999999</v>
      </c>
      <c r="BD20" s="37">
        <f t="shared" si="17"/>
        <v>40689.599999999999</v>
      </c>
      <c r="BE20" s="37">
        <f t="shared" si="17"/>
        <v>63940.799999999996</v>
      </c>
      <c r="BF20" s="37">
        <f t="shared" si="17"/>
        <v>63940.799999999996</v>
      </c>
      <c r="BG20" s="37">
        <f t="shared" si="17"/>
        <v>63940.799999999996</v>
      </c>
      <c r="BH20" s="37">
        <f t="shared" si="17"/>
        <v>87192</v>
      </c>
      <c r="BI20" s="37">
        <f t="shared" si="17"/>
        <v>87192</v>
      </c>
      <c r="BJ20" s="37">
        <f t="shared" si="17"/>
        <v>87192</v>
      </c>
      <c r="BK20" s="37">
        <f t="shared" si="17"/>
        <v>87192</v>
      </c>
      <c r="BL20" s="37">
        <f t="shared" si="17"/>
        <v>93004.800000000003</v>
      </c>
      <c r="BM20" s="37">
        <f t="shared" si="17"/>
        <v>93004.800000000003</v>
      </c>
      <c r="BN20" s="37">
        <f t="shared" si="17"/>
        <v>110443.2</v>
      </c>
      <c r="BO20" s="37">
        <f t="shared" si="17"/>
        <v>110443.2</v>
      </c>
      <c r="BP20" s="37">
        <f t="shared" si="17"/>
        <v>110443.2</v>
      </c>
      <c r="BQ20" s="37">
        <f t="shared" ref="BQ20:CU20" si="18">BQ164</f>
        <v>156945.60000000001</v>
      </c>
      <c r="BR20" s="37">
        <f t="shared" si="18"/>
        <v>156945.60000000001</v>
      </c>
      <c r="BS20" s="37">
        <f t="shared" si="18"/>
        <v>156945.60000000001</v>
      </c>
      <c r="BT20" s="37">
        <f t="shared" si="18"/>
        <v>203448</v>
      </c>
      <c r="BU20" s="37">
        <f t="shared" si="18"/>
        <v>203448</v>
      </c>
      <c r="BV20" s="37">
        <f t="shared" si="18"/>
        <v>203448</v>
      </c>
      <c r="BW20" s="37">
        <f t="shared" si="18"/>
        <v>203448</v>
      </c>
      <c r="BX20" s="37">
        <f t="shared" si="18"/>
        <v>212167.19999999998</v>
      </c>
      <c r="BY20" s="37">
        <f t="shared" si="18"/>
        <v>212167.19999999998</v>
      </c>
      <c r="BZ20" s="37">
        <f t="shared" si="18"/>
        <v>238324.8</v>
      </c>
      <c r="CA20" s="37">
        <f t="shared" si="18"/>
        <v>238324.8</v>
      </c>
      <c r="CB20" s="37">
        <f t="shared" si="18"/>
        <v>238324.8</v>
      </c>
      <c r="CC20" s="37">
        <f t="shared" si="18"/>
        <v>308078.39999999997</v>
      </c>
      <c r="CD20" s="37">
        <f t="shared" si="18"/>
        <v>308078.39999999997</v>
      </c>
      <c r="CE20" s="37">
        <f t="shared" si="18"/>
        <v>308078.39999999997</v>
      </c>
      <c r="CF20" s="37">
        <f t="shared" si="18"/>
        <v>377832</v>
      </c>
      <c r="CG20" s="37">
        <f t="shared" si="18"/>
        <v>377832</v>
      </c>
      <c r="CH20" s="37">
        <f t="shared" si="18"/>
        <v>377832</v>
      </c>
      <c r="CI20" s="37">
        <f t="shared" si="18"/>
        <v>377832</v>
      </c>
      <c r="CJ20" s="37">
        <f t="shared" si="18"/>
        <v>389457.6</v>
      </c>
      <c r="CK20" s="37">
        <f t="shared" si="18"/>
        <v>389457.6</v>
      </c>
      <c r="CL20" s="37">
        <f t="shared" si="18"/>
        <v>424334.39999999997</v>
      </c>
      <c r="CM20" s="37">
        <f t="shared" si="18"/>
        <v>424334.39999999997</v>
      </c>
      <c r="CN20" s="37">
        <f t="shared" si="18"/>
        <v>424334.39999999997</v>
      </c>
      <c r="CO20" s="37">
        <f t="shared" si="18"/>
        <v>517339.19999999995</v>
      </c>
      <c r="CP20" s="37">
        <f t="shared" si="18"/>
        <v>517339.19999999995</v>
      </c>
      <c r="CQ20" s="37">
        <f t="shared" si="18"/>
        <v>517339.19999999995</v>
      </c>
      <c r="CR20" s="37">
        <f t="shared" si="18"/>
        <v>610344</v>
      </c>
      <c r="CS20" s="37">
        <f t="shared" si="18"/>
        <v>610344</v>
      </c>
      <c r="CT20" s="37">
        <f t="shared" si="18"/>
        <v>610344</v>
      </c>
      <c r="CU20" s="37">
        <f t="shared" si="18"/>
        <v>610344</v>
      </c>
    </row>
    <row r="21" spans="1:100" ht="15.75" customHeight="1" outlineLevel="1">
      <c r="A21" s="86"/>
      <c r="B21" s="37"/>
      <c r="C21" s="37" t="s">
        <v>21</v>
      </c>
      <c r="D21" s="37">
        <f>D178</f>
        <v>0</v>
      </c>
      <c r="E21" s="37">
        <f t="shared" ref="E21:CU21" si="19">E178</f>
        <v>0</v>
      </c>
      <c r="F21" s="37">
        <f t="shared" si="19"/>
        <v>0</v>
      </c>
      <c r="G21" s="37">
        <f t="shared" si="19"/>
        <v>0</v>
      </c>
      <c r="H21" s="37">
        <f t="shared" si="19"/>
        <v>0</v>
      </c>
      <c r="I21" s="37">
        <f t="shared" si="19"/>
        <v>0</v>
      </c>
      <c r="J21" s="37">
        <f t="shared" si="19"/>
        <v>0</v>
      </c>
      <c r="K21" s="37">
        <f t="shared" si="19"/>
        <v>0</v>
      </c>
      <c r="L21" s="37">
        <f t="shared" si="19"/>
        <v>0</v>
      </c>
      <c r="M21" s="37">
        <f t="shared" si="19"/>
        <v>0</v>
      </c>
      <c r="N21" s="37">
        <f t="shared" si="19"/>
        <v>0</v>
      </c>
      <c r="O21" s="37">
        <f t="shared" si="19"/>
        <v>0</v>
      </c>
      <c r="P21" s="37">
        <f t="shared" si="19"/>
        <v>0</v>
      </c>
      <c r="Q21" s="37">
        <f t="shared" si="19"/>
        <v>0</v>
      </c>
      <c r="R21" s="37">
        <f t="shared" si="19"/>
        <v>0</v>
      </c>
      <c r="S21" s="37">
        <f t="shared" si="19"/>
        <v>0</v>
      </c>
      <c r="T21" s="37">
        <f t="shared" si="19"/>
        <v>0</v>
      </c>
      <c r="U21" s="37">
        <f t="shared" si="19"/>
        <v>0</v>
      </c>
      <c r="V21" s="37">
        <f t="shared" si="19"/>
        <v>0</v>
      </c>
      <c r="W21" s="37">
        <f t="shared" si="19"/>
        <v>0</v>
      </c>
      <c r="X21" s="37">
        <f t="shared" si="19"/>
        <v>0</v>
      </c>
      <c r="Y21" s="37">
        <f t="shared" si="19"/>
        <v>0</v>
      </c>
      <c r="Z21" s="37">
        <f t="shared" si="19"/>
        <v>0</v>
      </c>
      <c r="AA21" s="37">
        <f t="shared" si="19"/>
        <v>0</v>
      </c>
      <c r="AB21" s="37">
        <f t="shared" si="19"/>
        <v>130000</v>
      </c>
      <c r="AC21" s="37">
        <f t="shared" si="19"/>
        <v>0</v>
      </c>
      <c r="AD21" s="37">
        <f t="shared" si="19"/>
        <v>0</v>
      </c>
      <c r="AE21" s="37">
        <f t="shared" si="19"/>
        <v>0</v>
      </c>
      <c r="AF21" s="37">
        <f t="shared" si="19"/>
        <v>0</v>
      </c>
      <c r="AG21" s="37">
        <f t="shared" si="19"/>
        <v>130000</v>
      </c>
      <c r="AH21" s="37">
        <f t="shared" si="19"/>
        <v>0</v>
      </c>
      <c r="AI21" s="37">
        <f t="shared" si="19"/>
        <v>0</v>
      </c>
      <c r="AJ21" s="37">
        <f t="shared" si="19"/>
        <v>0</v>
      </c>
      <c r="AK21" s="37">
        <f t="shared" si="19"/>
        <v>0</v>
      </c>
      <c r="AL21" s="37">
        <f t="shared" si="19"/>
        <v>0</v>
      </c>
      <c r="AM21" s="37">
        <f t="shared" si="19"/>
        <v>130000</v>
      </c>
      <c r="AN21" s="37">
        <f t="shared" si="19"/>
        <v>0</v>
      </c>
      <c r="AO21" s="37">
        <f t="shared" si="19"/>
        <v>0</v>
      </c>
      <c r="AP21" s="37">
        <f t="shared" si="19"/>
        <v>0</v>
      </c>
      <c r="AQ21" s="37">
        <f t="shared" si="19"/>
        <v>0</v>
      </c>
      <c r="AR21" s="37">
        <f t="shared" si="19"/>
        <v>0</v>
      </c>
      <c r="AS21" s="37">
        <f t="shared" si="19"/>
        <v>240000</v>
      </c>
      <c r="AT21" s="37">
        <f t="shared" si="19"/>
        <v>0</v>
      </c>
      <c r="AU21" s="37">
        <f t="shared" si="19"/>
        <v>0</v>
      </c>
      <c r="AV21" s="37">
        <f t="shared" si="19"/>
        <v>0</v>
      </c>
      <c r="AW21" s="37">
        <f t="shared" si="19"/>
        <v>0</v>
      </c>
      <c r="AX21" s="37">
        <f t="shared" si="19"/>
        <v>0</v>
      </c>
      <c r="AY21" s="37">
        <f t="shared" si="19"/>
        <v>440000</v>
      </c>
      <c r="AZ21" s="37">
        <f t="shared" si="19"/>
        <v>130000</v>
      </c>
      <c r="BA21" s="37">
        <f t="shared" si="19"/>
        <v>0</v>
      </c>
      <c r="BB21" s="37">
        <f t="shared" si="19"/>
        <v>360000</v>
      </c>
      <c r="BC21" s="37">
        <f t="shared" si="19"/>
        <v>0</v>
      </c>
      <c r="BD21" s="37">
        <f t="shared" si="19"/>
        <v>0</v>
      </c>
      <c r="BE21" s="37">
        <f t="shared" si="19"/>
        <v>880000</v>
      </c>
      <c r="BF21" s="37">
        <f t="shared" si="19"/>
        <v>0</v>
      </c>
      <c r="BG21" s="37">
        <f t="shared" si="19"/>
        <v>0</v>
      </c>
      <c r="BH21" s="37">
        <f t="shared" si="19"/>
        <v>880000</v>
      </c>
      <c r="BI21" s="37">
        <f t="shared" si="19"/>
        <v>0</v>
      </c>
      <c r="BJ21" s="37">
        <f t="shared" si="19"/>
        <v>0</v>
      </c>
      <c r="BK21" s="37">
        <f t="shared" si="19"/>
        <v>0</v>
      </c>
      <c r="BL21" s="37">
        <f t="shared" si="19"/>
        <v>260000</v>
      </c>
      <c r="BM21" s="37">
        <f t="shared" si="19"/>
        <v>0</v>
      </c>
      <c r="BN21" s="37">
        <f t="shared" si="19"/>
        <v>720000</v>
      </c>
      <c r="BO21" s="37">
        <f t="shared" si="19"/>
        <v>0</v>
      </c>
      <c r="BP21" s="37">
        <f t="shared" si="19"/>
        <v>0</v>
      </c>
      <c r="BQ21" s="37">
        <f t="shared" si="19"/>
        <v>1760000</v>
      </c>
      <c r="BR21" s="37">
        <f t="shared" si="19"/>
        <v>0</v>
      </c>
      <c r="BS21" s="37">
        <f t="shared" si="19"/>
        <v>0</v>
      </c>
      <c r="BT21" s="37">
        <f t="shared" si="19"/>
        <v>1760000</v>
      </c>
      <c r="BU21" s="37">
        <f t="shared" si="19"/>
        <v>0</v>
      </c>
      <c r="BV21" s="37">
        <f t="shared" si="19"/>
        <v>0</v>
      </c>
      <c r="BW21" s="37">
        <f t="shared" si="19"/>
        <v>0</v>
      </c>
      <c r="BX21" s="37">
        <f t="shared" si="19"/>
        <v>360000</v>
      </c>
      <c r="BY21" s="37">
        <f t="shared" si="19"/>
        <v>0</v>
      </c>
      <c r="BZ21" s="37">
        <f t="shared" si="19"/>
        <v>1080000</v>
      </c>
      <c r="CA21" s="37">
        <f t="shared" si="19"/>
        <v>0</v>
      </c>
      <c r="CB21" s="37">
        <f t="shared" si="19"/>
        <v>0</v>
      </c>
      <c r="CC21" s="37">
        <f t="shared" si="19"/>
        <v>2640000</v>
      </c>
      <c r="CD21" s="37">
        <f t="shared" si="19"/>
        <v>0</v>
      </c>
      <c r="CE21" s="37">
        <f t="shared" si="19"/>
        <v>0</v>
      </c>
      <c r="CF21" s="37">
        <f t="shared" si="19"/>
        <v>2640000</v>
      </c>
      <c r="CG21" s="37">
        <f t="shared" si="19"/>
        <v>0</v>
      </c>
      <c r="CH21" s="37">
        <f t="shared" si="19"/>
        <v>0</v>
      </c>
      <c r="CI21" s="37">
        <f t="shared" si="19"/>
        <v>0</v>
      </c>
      <c r="CJ21" s="37">
        <f t="shared" si="19"/>
        <v>480000</v>
      </c>
      <c r="CK21" s="37">
        <f t="shared" si="19"/>
        <v>0</v>
      </c>
      <c r="CL21" s="37">
        <f t="shared" si="19"/>
        <v>1440000</v>
      </c>
      <c r="CM21" s="37">
        <f t="shared" si="19"/>
        <v>0</v>
      </c>
      <c r="CN21" s="37">
        <f t="shared" si="19"/>
        <v>0</v>
      </c>
      <c r="CO21" s="37">
        <f t="shared" si="19"/>
        <v>3520000</v>
      </c>
      <c r="CP21" s="37">
        <f t="shared" si="19"/>
        <v>0</v>
      </c>
      <c r="CQ21" s="37">
        <f t="shared" si="19"/>
        <v>0</v>
      </c>
      <c r="CR21" s="37">
        <f t="shared" si="19"/>
        <v>3520000</v>
      </c>
      <c r="CS21" s="37">
        <f t="shared" si="19"/>
        <v>0</v>
      </c>
      <c r="CT21" s="37">
        <f t="shared" si="19"/>
        <v>0</v>
      </c>
      <c r="CU21" s="37">
        <f t="shared" si="19"/>
        <v>0</v>
      </c>
    </row>
    <row r="22" spans="1:100" ht="15.75" customHeight="1" outlineLevel="1">
      <c r="A22" s="86"/>
      <c r="B22" s="37"/>
      <c r="C22" s="37" t="s">
        <v>22</v>
      </c>
      <c r="D22" s="37">
        <f>D185</f>
        <v>0</v>
      </c>
      <c r="E22" s="37">
        <f t="shared" ref="E22:CU22" si="20">E185</f>
        <v>0</v>
      </c>
      <c r="F22" s="37">
        <f t="shared" si="20"/>
        <v>0</v>
      </c>
      <c r="G22" s="37">
        <f t="shared" si="20"/>
        <v>0</v>
      </c>
      <c r="H22" s="37">
        <f t="shared" si="20"/>
        <v>0</v>
      </c>
      <c r="I22" s="37">
        <f t="shared" si="20"/>
        <v>0</v>
      </c>
      <c r="J22" s="37">
        <f t="shared" si="20"/>
        <v>0</v>
      </c>
      <c r="K22" s="37">
        <f t="shared" si="20"/>
        <v>0</v>
      </c>
      <c r="L22" s="37">
        <f t="shared" si="20"/>
        <v>0</v>
      </c>
      <c r="M22" s="37">
        <f t="shared" si="20"/>
        <v>0</v>
      </c>
      <c r="N22" s="37">
        <f t="shared" si="20"/>
        <v>0</v>
      </c>
      <c r="O22" s="37">
        <f t="shared" si="20"/>
        <v>0</v>
      </c>
      <c r="P22" s="37">
        <f t="shared" si="20"/>
        <v>0</v>
      </c>
      <c r="Q22" s="37">
        <f t="shared" si="20"/>
        <v>0</v>
      </c>
      <c r="R22" s="37">
        <f t="shared" si="20"/>
        <v>0</v>
      </c>
      <c r="S22" s="37">
        <f t="shared" si="20"/>
        <v>0</v>
      </c>
      <c r="T22" s="37">
        <f t="shared" si="20"/>
        <v>0</v>
      </c>
      <c r="U22" s="37">
        <f t="shared" si="20"/>
        <v>0</v>
      </c>
      <c r="V22" s="37">
        <f t="shared" si="20"/>
        <v>0</v>
      </c>
      <c r="W22" s="37">
        <f t="shared" si="20"/>
        <v>0</v>
      </c>
      <c r="X22" s="37">
        <f t="shared" si="20"/>
        <v>0</v>
      </c>
      <c r="Y22" s="37">
        <f t="shared" si="20"/>
        <v>0</v>
      </c>
      <c r="Z22" s="37">
        <f t="shared" si="20"/>
        <v>0</v>
      </c>
      <c r="AA22" s="37">
        <f t="shared" si="20"/>
        <v>0</v>
      </c>
      <c r="AB22" s="37">
        <f t="shared" si="20"/>
        <v>2500</v>
      </c>
      <c r="AC22" s="37">
        <f t="shared" si="20"/>
        <v>2500</v>
      </c>
      <c r="AD22" s="37">
        <f t="shared" si="20"/>
        <v>2500</v>
      </c>
      <c r="AE22" s="37">
        <f t="shared" si="20"/>
        <v>2500</v>
      </c>
      <c r="AF22" s="37">
        <f t="shared" si="20"/>
        <v>2500</v>
      </c>
      <c r="AG22" s="37">
        <f t="shared" si="20"/>
        <v>5000</v>
      </c>
      <c r="AH22" s="37">
        <f t="shared" si="20"/>
        <v>5000</v>
      </c>
      <c r="AI22" s="37">
        <f t="shared" si="20"/>
        <v>5000</v>
      </c>
      <c r="AJ22" s="37">
        <f t="shared" si="20"/>
        <v>5000</v>
      </c>
      <c r="AK22" s="37">
        <f t="shared" si="20"/>
        <v>5000</v>
      </c>
      <c r="AL22" s="37">
        <f t="shared" si="20"/>
        <v>5000</v>
      </c>
      <c r="AM22" s="37">
        <f t="shared" si="20"/>
        <v>7500</v>
      </c>
      <c r="AN22" s="37">
        <f t="shared" si="20"/>
        <v>7500</v>
      </c>
      <c r="AO22" s="37">
        <f t="shared" si="20"/>
        <v>7500</v>
      </c>
      <c r="AP22" s="37">
        <f t="shared" si="20"/>
        <v>7500</v>
      </c>
      <c r="AQ22" s="37">
        <f t="shared" si="20"/>
        <v>7500</v>
      </c>
      <c r="AR22" s="37">
        <f t="shared" si="20"/>
        <v>7500</v>
      </c>
      <c r="AS22" s="37">
        <f t="shared" si="20"/>
        <v>15780</v>
      </c>
      <c r="AT22" s="37">
        <f t="shared" si="20"/>
        <v>12180</v>
      </c>
      <c r="AU22" s="37">
        <f t="shared" si="20"/>
        <v>12180</v>
      </c>
      <c r="AV22" s="37">
        <f t="shared" si="20"/>
        <v>12180</v>
      </c>
      <c r="AW22" s="37">
        <f t="shared" si="20"/>
        <v>12180</v>
      </c>
      <c r="AX22" s="37">
        <f t="shared" si="20"/>
        <v>12180</v>
      </c>
      <c r="AY22" s="37">
        <f t="shared" si="20"/>
        <v>18680</v>
      </c>
      <c r="AZ22" s="37">
        <f t="shared" si="20"/>
        <v>21180</v>
      </c>
      <c r="BA22" s="37">
        <f t="shared" si="20"/>
        <v>21180</v>
      </c>
      <c r="BB22" s="37">
        <f t="shared" si="20"/>
        <v>33600</v>
      </c>
      <c r="BC22" s="37">
        <f t="shared" si="20"/>
        <v>28200</v>
      </c>
      <c r="BD22" s="37">
        <f t="shared" si="20"/>
        <v>28200</v>
      </c>
      <c r="BE22" s="37">
        <f t="shared" si="20"/>
        <v>41200</v>
      </c>
      <c r="BF22" s="37">
        <f t="shared" si="20"/>
        <v>41200</v>
      </c>
      <c r="BG22" s="37">
        <f t="shared" si="20"/>
        <v>41200</v>
      </c>
      <c r="BH22" s="37">
        <f t="shared" si="20"/>
        <v>54200</v>
      </c>
      <c r="BI22" s="37">
        <f t="shared" si="20"/>
        <v>54200</v>
      </c>
      <c r="BJ22" s="37">
        <f t="shared" si="20"/>
        <v>54200</v>
      </c>
      <c r="BK22" s="37">
        <f t="shared" si="20"/>
        <v>54200</v>
      </c>
      <c r="BL22" s="37">
        <f t="shared" si="20"/>
        <v>59200</v>
      </c>
      <c r="BM22" s="37">
        <f t="shared" si="20"/>
        <v>59200</v>
      </c>
      <c r="BN22" s="37">
        <f t="shared" si="20"/>
        <v>84040</v>
      </c>
      <c r="BO22" s="37">
        <f t="shared" si="20"/>
        <v>73240</v>
      </c>
      <c r="BP22" s="37">
        <f t="shared" si="20"/>
        <v>73240</v>
      </c>
      <c r="BQ22" s="37">
        <f t="shared" si="20"/>
        <v>99240</v>
      </c>
      <c r="BR22" s="37">
        <f t="shared" si="20"/>
        <v>99240</v>
      </c>
      <c r="BS22" s="37">
        <f t="shared" si="20"/>
        <v>99240</v>
      </c>
      <c r="BT22" s="37">
        <f t="shared" si="20"/>
        <v>125240</v>
      </c>
      <c r="BU22" s="37">
        <f t="shared" si="20"/>
        <v>125240</v>
      </c>
      <c r="BV22" s="37">
        <f t="shared" si="20"/>
        <v>125240</v>
      </c>
      <c r="BW22" s="37">
        <f t="shared" si="20"/>
        <v>125240</v>
      </c>
      <c r="BX22" s="37">
        <f t="shared" si="20"/>
        <v>132740</v>
      </c>
      <c r="BY22" s="37">
        <f t="shared" si="20"/>
        <v>132740</v>
      </c>
      <c r="BZ22" s="37">
        <f t="shared" si="20"/>
        <v>170000</v>
      </c>
      <c r="CA22" s="37">
        <f t="shared" si="20"/>
        <v>153800</v>
      </c>
      <c r="CB22" s="37">
        <f t="shared" si="20"/>
        <v>153800</v>
      </c>
      <c r="CC22" s="37">
        <f t="shared" si="20"/>
        <v>192800</v>
      </c>
      <c r="CD22" s="37">
        <f t="shared" si="20"/>
        <v>192800</v>
      </c>
      <c r="CE22" s="37">
        <f t="shared" si="20"/>
        <v>192800</v>
      </c>
      <c r="CF22" s="37">
        <f t="shared" si="20"/>
        <v>231800</v>
      </c>
      <c r="CG22" s="37">
        <f t="shared" si="20"/>
        <v>231800</v>
      </c>
      <c r="CH22" s="37">
        <f t="shared" si="20"/>
        <v>231800</v>
      </c>
      <c r="CI22" s="37">
        <f t="shared" si="20"/>
        <v>231800</v>
      </c>
      <c r="CJ22" s="37">
        <f t="shared" si="20"/>
        <v>241800</v>
      </c>
      <c r="CK22" s="37">
        <f t="shared" si="20"/>
        <v>241800</v>
      </c>
      <c r="CL22" s="37">
        <f t="shared" si="20"/>
        <v>291480</v>
      </c>
      <c r="CM22" s="37">
        <f t="shared" si="20"/>
        <v>269880</v>
      </c>
      <c r="CN22" s="37">
        <f t="shared" si="20"/>
        <v>269880</v>
      </c>
      <c r="CO22" s="37">
        <f t="shared" si="20"/>
        <v>321880</v>
      </c>
      <c r="CP22" s="37">
        <f t="shared" si="20"/>
        <v>321880</v>
      </c>
      <c r="CQ22" s="37">
        <f t="shared" si="20"/>
        <v>321880</v>
      </c>
      <c r="CR22" s="37">
        <f t="shared" si="20"/>
        <v>373880</v>
      </c>
      <c r="CS22" s="37">
        <f t="shared" si="20"/>
        <v>373880</v>
      </c>
      <c r="CT22" s="37">
        <f t="shared" si="20"/>
        <v>373880</v>
      </c>
      <c r="CU22" s="37">
        <f t="shared" si="20"/>
        <v>373880</v>
      </c>
      <c r="CV22" s="3"/>
    </row>
    <row r="23" spans="1:100" ht="15.75" customHeight="1" outlineLevel="1">
      <c r="A23" s="86"/>
      <c r="B23" s="37"/>
      <c r="C23" s="37" t="s">
        <v>23</v>
      </c>
      <c r="D23" s="37">
        <f>D201</f>
        <v>0</v>
      </c>
      <c r="E23" s="37">
        <f t="shared" ref="E23:CU23" si="21">E201</f>
        <v>0</v>
      </c>
      <c r="F23" s="37">
        <f t="shared" si="21"/>
        <v>0</v>
      </c>
      <c r="G23" s="37">
        <f t="shared" si="21"/>
        <v>0</v>
      </c>
      <c r="H23" s="37">
        <f t="shared" si="21"/>
        <v>0</v>
      </c>
      <c r="I23" s="37">
        <f t="shared" si="21"/>
        <v>0</v>
      </c>
      <c r="J23" s="37">
        <f t="shared" si="21"/>
        <v>0</v>
      </c>
      <c r="K23" s="37">
        <f t="shared" si="21"/>
        <v>0</v>
      </c>
      <c r="L23" s="37">
        <f t="shared" si="21"/>
        <v>0</v>
      </c>
      <c r="M23" s="37">
        <f t="shared" si="21"/>
        <v>0</v>
      </c>
      <c r="N23" s="37">
        <f t="shared" si="21"/>
        <v>0</v>
      </c>
      <c r="O23" s="37">
        <f t="shared" si="21"/>
        <v>0</v>
      </c>
      <c r="P23" s="37">
        <f t="shared" si="21"/>
        <v>0</v>
      </c>
      <c r="Q23" s="37">
        <f t="shared" si="21"/>
        <v>0</v>
      </c>
      <c r="R23" s="37">
        <f t="shared" si="21"/>
        <v>0</v>
      </c>
      <c r="S23" s="37">
        <f t="shared" si="21"/>
        <v>0</v>
      </c>
      <c r="T23" s="37">
        <f t="shared" si="21"/>
        <v>0</v>
      </c>
      <c r="U23" s="37">
        <f t="shared" si="21"/>
        <v>0</v>
      </c>
      <c r="V23" s="37">
        <f t="shared" si="21"/>
        <v>0</v>
      </c>
      <c r="W23" s="37">
        <f t="shared" si="21"/>
        <v>0</v>
      </c>
      <c r="X23" s="37">
        <f t="shared" si="21"/>
        <v>0</v>
      </c>
      <c r="Y23" s="37">
        <f t="shared" si="21"/>
        <v>0</v>
      </c>
      <c r="Z23" s="37">
        <f t="shared" si="21"/>
        <v>0</v>
      </c>
      <c r="AA23" s="37">
        <f t="shared" si="21"/>
        <v>0</v>
      </c>
      <c r="AB23" s="37">
        <f t="shared" si="21"/>
        <v>0</v>
      </c>
      <c r="AC23" s="37">
        <f t="shared" si="21"/>
        <v>0</v>
      </c>
      <c r="AD23" s="37">
        <f t="shared" si="21"/>
        <v>0</v>
      </c>
      <c r="AE23" s="37">
        <f t="shared" si="21"/>
        <v>0</v>
      </c>
      <c r="AF23" s="37">
        <f t="shared" si="21"/>
        <v>0</v>
      </c>
      <c r="AG23" s="37">
        <f t="shared" si="21"/>
        <v>0</v>
      </c>
      <c r="AH23" s="37">
        <f t="shared" si="21"/>
        <v>0</v>
      </c>
      <c r="AI23" s="37">
        <f t="shared" si="21"/>
        <v>0</v>
      </c>
      <c r="AJ23" s="37">
        <f t="shared" si="21"/>
        <v>0</v>
      </c>
      <c r="AK23" s="37">
        <f t="shared" si="21"/>
        <v>0</v>
      </c>
      <c r="AL23" s="37">
        <f t="shared" si="21"/>
        <v>0</v>
      </c>
      <c r="AM23" s="37">
        <f t="shared" si="21"/>
        <v>0</v>
      </c>
      <c r="AN23" s="37">
        <f t="shared" si="21"/>
        <v>0</v>
      </c>
      <c r="AO23" s="37">
        <f t="shared" si="21"/>
        <v>0</v>
      </c>
      <c r="AP23" s="37">
        <f t="shared" si="21"/>
        <v>0</v>
      </c>
      <c r="AQ23" s="37">
        <f t="shared" si="21"/>
        <v>0</v>
      </c>
      <c r="AR23" s="37">
        <f t="shared" si="21"/>
        <v>0</v>
      </c>
      <c r="AS23" s="37">
        <f t="shared" si="21"/>
        <v>9000</v>
      </c>
      <c r="AT23" s="37">
        <f t="shared" si="21"/>
        <v>9000</v>
      </c>
      <c r="AU23" s="37">
        <f t="shared" si="21"/>
        <v>9000</v>
      </c>
      <c r="AV23" s="37">
        <f t="shared" si="21"/>
        <v>9000</v>
      </c>
      <c r="AW23" s="37">
        <f t="shared" si="21"/>
        <v>9000</v>
      </c>
      <c r="AX23" s="37">
        <f t="shared" si="21"/>
        <v>9000</v>
      </c>
      <c r="AY23" s="37">
        <f t="shared" si="21"/>
        <v>27000</v>
      </c>
      <c r="AZ23" s="37">
        <f t="shared" si="21"/>
        <v>27000</v>
      </c>
      <c r="BA23" s="37">
        <f t="shared" si="21"/>
        <v>27000</v>
      </c>
      <c r="BB23" s="37">
        <f t="shared" si="21"/>
        <v>40500</v>
      </c>
      <c r="BC23" s="37">
        <f t="shared" si="21"/>
        <v>40500</v>
      </c>
      <c r="BD23" s="37">
        <f t="shared" si="21"/>
        <v>40500</v>
      </c>
      <c r="BE23" s="37">
        <f t="shared" si="21"/>
        <v>76500</v>
      </c>
      <c r="BF23" s="37">
        <f t="shared" si="21"/>
        <v>76500</v>
      </c>
      <c r="BG23" s="37">
        <f t="shared" si="21"/>
        <v>76500</v>
      </c>
      <c r="BH23" s="37">
        <f t="shared" si="21"/>
        <v>112500</v>
      </c>
      <c r="BI23" s="37">
        <f t="shared" si="21"/>
        <v>112500</v>
      </c>
      <c r="BJ23" s="37">
        <f t="shared" si="21"/>
        <v>112500</v>
      </c>
      <c r="BK23" s="37">
        <f t="shared" si="21"/>
        <v>112500</v>
      </c>
      <c r="BL23" s="37">
        <f t="shared" si="21"/>
        <v>112500</v>
      </c>
      <c r="BM23" s="37">
        <f t="shared" si="21"/>
        <v>112500</v>
      </c>
      <c r="BN23" s="37">
        <f t="shared" si="21"/>
        <v>139500</v>
      </c>
      <c r="BO23" s="37">
        <f t="shared" si="21"/>
        <v>139500</v>
      </c>
      <c r="BP23" s="37">
        <f t="shared" si="21"/>
        <v>139500</v>
      </c>
      <c r="BQ23" s="37">
        <f t="shared" si="21"/>
        <v>211500</v>
      </c>
      <c r="BR23" s="37">
        <f t="shared" si="21"/>
        <v>211500</v>
      </c>
      <c r="BS23" s="37">
        <f t="shared" si="21"/>
        <v>211500</v>
      </c>
      <c r="BT23" s="37">
        <f t="shared" si="21"/>
        <v>283500</v>
      </c>
      <c r="BU23" s="37">
        <f t="shared" si="21"/>
        <v>283500</v>
      </c>
      <c r="BV23" s="37">
        <f t="shared" si="21"/>
        <v>283500</v>
      </c>
      <c r="BW23" s="37">
        <f t="shared" si="21"/>
        <v>283500</v>
      </c>
      <c r="BX23" s="37">
        <f t="shared" si="21"/>
        <v>283500</v>
      </c>
      <c r="BY23" s="37">
        <f t="shared" si="21"/>
        <v>283500</v>
      </c>
      <c r="BZ23" s="37">
        <f t="shared" si="21"/>
        <v>324000</v>
      </c>
      <c r="CA23" s="37">
        <f t="shared" si="21"/>
        <v>324000</v>
      </c>
      <c r="CB23" s="37">
        <f t="shared" si="21"/>
        <v>324000</v>
      </c>
      <c r="CC23" s="37">
        <f t="shared" si="21"/>
        <v>432000</v>
      </c>
      <c r="CD23" s="37">
        <f t="shared" si="21"/>
        <v>432000</v>
      </c>
      <c r="CE23" s="37">
        <f t="shared" si="21"/>
        <v>432000</v>
      </c>
      <c r="CF23" s="37">
        <f t="shared" si="21"/>
        <v>540000</v>
      </c>
      <c r="CG23" s="37">
        <f t="shared" si="21"/>
        <v>540000</v>
      </c>
      <c r="CH23" s="37">
        <f t="shared" si="21"/>
        <v>540000</v>
      </c>
      <c r="CI23" s="37">
        <f t="shared" si="21"/>
        <v>540000</v>
      </c>
      <c r="CJ23" s="37">
        <f t="shared" si="21"/>
        <v>540000</v>
      </c>
      <c r="CK23" s="37">
        <f t="shared" si="21"/>
        <v>540000</v>
      </c>
      <c r="CL23" s="37">
        <f t="shared" si="21"/>
        <v>594000</v>
      </c>
      <c r="CM23" s="37">
        <f t="shared" si="21"/>
        <v>594000</v>
      </c>
      <c r="CN23" s="37">
        <f t="shared" si="21"/>
        <v>594000</v>
      </c>
      <c r="CO23" s="37">
        <f t="shared" si="21"/>
        <v>738000</v>
      </c>
      <c r="CP23" s="37">
        <f t="shared" si="21"/>
        <v>738000</v>
      </c>
      <c r="CQ23" s="37">
        <f t="shared" si="21"/>
        <v>738000</v>
      </c>
      <c r="CR23" s="37">
        <f t="shared" si="21"/>
        <v>882000</v>
      </c>
      <c r="CS23" s="37">
        <f t="shared" si="21"/>
        <v>882000</v>
      </c>
      <c r="CT23" s="37">
        <f t="shared" si="21"/>
        <v>882000</v>
      </c>
      <c r="CU23" s="37">
        <f t="shared" si="21"/>
        <v>882000</v>
      </c>
    </row>
    <row r="24" spans="1:100" ht="15.75" customHeight="1">
      <c r="A24" s="84"/>
      <c r="B24" s="21"/>
      <c r="C24" s="21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>
        <f>SUM(AN19:AY19)</f>
        <v>1085682.4000000001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</row>
    <row r="25" spans="1:100" ht="15.75" customHeight="1">
      <c r="A25" s="84"/>
      <c r="B25" s="30"/>
      <c r="C25" s="31" t="s">
        <v>24</v>
      </c>
      <c r="D25" s="351">
        <f>SUM(D26:D48)</f>
        <v>5</v>
      </c>
      <c r="E25" s="351">
        <f t="shared" ref="E25:BP25" si="22">SUM(E26:E48)</f>
        <v>5</v>
      </c>
      <c r="F25" s="351">
        <f t="shared" si="22"/>
        <v>5</v>
      </c>
      <c r="G25" s="351">
        <f t="shared" si="22"/>
        <v>5</v>
      </c>
      <c r="H25" s="351">
        <f t="shared" si="22"/>
        <v>5</v>
      </c>
      <c r="I25" s="351">
        <f t="shared" si="22"/>
        <v>5</v>
      </c>
      <c r="J25" s="351">
        <f t="shared" si="22"/>
        <v>5</v>
      </c>
      <c r="K25" s="351">
        <f t="shared" si="22"/>
        <v>5</v>
      </c>
      <c r="L25" s="351">
        <f t="shared" si="22"/>
        <v>5</v>
      </c>
      <c r="M25" s="351">
        <f t="shared" si="22"/>
        <v>5</v>
      </c>
      <c r="N25" s="351">
        <f t="shared" si="22"/>
        <v>5</v>
      </c>
      <c r="O25" s="351">
        <f t="shared" si="22"/>
        <v>5</v>
      </c>
      <c r="P25" s="351">
        <f t="shared" si="22"/>
        <v>5</v>
      </c>
      <c r="Q25" s="351">
        <f t="shared" si="22"/>
        <v>5</v>
      </c>
      <c r="R25" s="351">
        <f t="shared" si="22"/>
        <v>5</v>
      </c>
      <c r="S25" s="351">
        <f t="shared" si="22"/>
        <v>5</v>
      </c>
      <c r="T25" s="351">
        <f t="shared" si="22"/>
        <v>5</v>
      </c>
      <c r="U25" s="351">
        <f t="shared" si="22"/>
        <v>5</v>
      </c>
      <c r="V25" s="351">
        <f t="shared" si="22"/>
        <v>5</v>
      </c>
      <c r="W25" s="351">
        <f t="shared" si="22"/>
        <v>5</v>
      </c>
      <c r="X25" s="351">
        <f t="shared" si="22"/>
        <v>5</v>
      </c>
      <c r="Y25" s="351">
        <f t="shared" si="22"/>
        <v>5</v>
      </c>
      <c r="Z25" s="351">
        <f t="shared" si="22"/>
        <v>5</v>
      </c>
      <c r="AA25" s="351">
        <f t="shared" si="22"/>
        <v>5</v>
      </c>
      <c r="AB25" s="351">
        <f t="shared" si="22"/>
        <v>7</v>
      </c>
      <c r="AC25" s="351">
        <f t="shared" si="22"/>
        <v>7</v>
      </c>
      <c r="AD25" s="351">
        <f t="shared" si="22"/>
        <v>7</v>
      </c>
      <c r="AE25" s="351">
        <f t="shared" si="22"/>
        <v>7</v>
      </c>
      <c r="AF25" s="351">
        <f t="shared" si="22"/>
        <v>7</v>
      </c>
      <c r="AG25" s="351">
        <f t="shared" si="22"/>
        <v>7</v>
      </c>
      <c r="AH25" s="351">
        <f t="shared" si="22"/>
        <v>7</v>
      </c>
      <c r="AI25" s="351">
        <f t="shared" si="22"/>
        <v>7</v>
      </c>
      <c r="AJ25" s="351">
        <f t="shared" si="22"/>
        <v>7</v>
      </c>
      <c r="AK25" s="351">
        <f t="shared" si="22"/>
        <v>7</v>
      </c>
      <c r="AL25" s="351">
        <f t="shared" si="22"/>
        <v>9</v>
      </c>
      <c r="AM25" s="351">
        <f t="shared" si="22"/>
        <v>9</v>
      </c>
      <c r="AN25" s="351">
        <f t="shared" si="22"/>
        <v>10</v>
      </c>
      <c r="AO25" s="351">
        <f t="shared" si="22"/>
        <v>10</v>
      </c>
      <c r="AP25" s="351">
        <f t="shared" si="22"/>
        <v>10</v>
      </c>
      <c r="AQ25" s="351">
        <f t="shared" si="22"/>
        <v>10</v>
      </c>
      <c r="AR25" s="351">
        <f t="shared" si="22"/>
        <v>10</v>
      </c>
      <c r="AS25" s="351">
        <f t="shared" si="22"/>
        <v>10</v>
      </c>
      <c r="AT25" s="351">
        <f t="shared" si="22"/>
        <v>10</v>
      </c>
      <c r="AU25" s="351">
        <f t="shared" si="22"/>
        <v>10</v>
      </c>
      <c r="AV25" s="351">
        <f t="shared" si="22"/>
        <v>12</v>
      </c>
      <c r="AW25" s="351">
        <f t="shared" si="22"/>
        <v>12</v>
      </c>
      <c r="AX25" s="351">
        <f t="shared" si="22"/>
        <v>13</v>
      </c>
      <c r="AY25" s="351">
        <f t="shared" si="22"/>
        <v>13</v>
      </c>
      <c r="AZ25" s="351">
        <f t="shared" si="22"/>
        <v>13</v>
      </c>
      <c r="BA25" s="351">
        <f t="shared" si="22"/>
        <v>13</v>
      </c>
      <c r="BB25" s="351">
        <f t="shared" si="22"/>
        <v>13</v>
      </c>
      <c r="BC25" s="351">
        <f t="shared" si="22"/>
        <v>25</v>
      </c>
      <c r="BD25" s="351">
        <f t="shared" si="22"/>
        <v>25</v>
      </c>
      <c r="BE25" s="351">
        <f t="shared" si="22"/>
        <v>25</v>
      </c>
      <c r="BF25" s="351">
        <f t="shared" si="22"/>
        <v>25</v>
      </c>
      <c r="BG25" s="351">
        <f t="shared" si="22"/>
        <v>25</v>
      </c>
      <c r="BH25" s="351">
        <f t="shared" si="22"/>
        <v>25</v>
      </c>
      <c r="BI25" s="351">
        <f t="shared" si="22"/>
        <v>25</v>
      </c>
      <c r="BJ25" s="351">
        <f t="shared" si="22"/>
        <v>25</v>
      </c>
      <c r="BK25" s="351">
        <f t="shared" si="22"/>
        <v>25</v>
      </c>
      <c r="BL25" s="351">
        <f t="shared" si="22"/>
        <v>29</v>
      </c>
      <c r="BM25" s="351">
        <f t="shared" si="22"/>
        <v>33</v>
      </c>
      <c r="BN25" s="351">
        <f t="shared" si="22"/>
        <v>33</v>
      </c>
      <c r="BO25" s="351">
        <f t="shared" si="22"/>
        <v>33</v>
      </c>
      <c r="BP25" s="351">
        <f t="shared" si="22"/>
        <v>33</v>
      </c>
      <c r="BQ25" s="351">
        <f t="shared" ref="BQ25:CU25" si="23">SUM(BQ26:BQ48)</f>
        <v>33</v>
      </c>
      <c r="BR25" s="351">
        <f t="shared" si="23"/>
        <v>33</v>
      </c>
      <c r="BS25" s="351">
        <f t="shared" si="23"/>
        <v>39</v>
      </c>
      <c r="BT25" s="351">
        <f t="shared" si="23"/>
        <v>39</v>
      </c>
      <c r="BU25" s="351">
        <f t="shared" si="23"/>
        <v>39</v>
      </c>
      <c r="BV25" s="351">
        <f t="shared" si="23"/>
        <v>39</v>
      </c>
      <c r="BW25" s="351">
        <f t="shared" si="23"/>
        <v>39</v>
      </c>
      <c r="BX25" s="351">
        <f t="shared" si="23"/>
        <v>39</v>
      </c>
      <c r="BY25" s="351">
        <f t="shared" si="23"/>
        <v>39</v>
      </c>
      <c r="BZ25" s="351">
        <f t="shared" si="23"/>
        <v>39</v>
      </c>
      <c r="CA25" s="351">
        <f t="shared" si="23"/>
        <v>44</v>
      </c>
      <c r="CB25" s="351">
        <f t="shared" si="23"/>
        <v>44</v>
      </c>
      <c r="CC25" s="351">
        <f t="shared" si="23"/>
        <v>44</v>
      </c>
      <c r="CD25" s="351">
        <f t="shared" si="23"/>
        <v>44</v>
      </c>
      <c r="CE25" s="351">
        <f t="shared" si="23"/>
        <v>44</v>
      </c>
      <c r="CF25" s="351">
        <f t="shared" si="23"/>
        <v>44</v>
      </c>
      <c r="CG25" s="351">
        <f t="shared" si="23"/>
        <v>44</v>
      </c>
      <c r="CH25" s="351">
        <f t="shared" si="23"/>
        <v>44</v>
      </c>
      <c r="CI25" s="351">
        <f t="shared" si="23"/>
        <v>49</v>
      </c>
      <c r="CJ25" s="351">
        <f t="shared" si="23"/>
        <v>49</v>
      </c>
      <c r="CK25" s="351">
        <f t="shared" si="23"/>
        <v>49</v>
      </c>
      <c r="CL25" s="351">
        <f t="shared" si="23"/>
        <v>49</v>
      </c>
      <c r="CM25" s="351">
        <f t="shared" si="23"/>
        <v>49</v>
      </c>
      <c r="CN25" s="351">
        <f t="shared" si="23"/>
        <v>49</v>
      </c>
      <c r="CO25" s="351">
        <f t="shared" si="23"/>
        <v>49</v>
      </c>
      <c r="CP25" s="351">
        <f t="shared" si="23"/>
        <v>49</v>
      </c>
      <c r="CQ25" s="351">
        <f t="shared" si="23"/>
        <v>54</v>
      </c>
      <c r="CR25" s="351">
        <f t="shared" si="23"/>
        <v>54</v>
      </c>
      <c r="CS25" s="351">
        <f t="shared" si="23"/>
        <v>54</v>
      </c>
      <c r="CT25" s="351">
        <f t="shared" si="23"/>
        <v>54</v>
      </c>
      <c r="CU25" s="351">
        <f t="shared" si="23"/>
        <v>54</v>
      </c>
    </row>
    <row r="26" spans="1:100" ht="15.75" customHeight="1" outlineLevel="1">
      <c r="A26" s="84"/>
      <c r="B26" s="21"/>
      <c r="C26" s="21" t="s">
        <v>25</v>
      </c>
      <c r="D26" s="68">
        <f t="shared" ref="D26:CU28" si="24">D85</f>
        <v>1</v>
      </c>
      <c r="E26" s="68">
        <f t="shared" si="24"/>
        <v>1</v>
      </c>
      <c r="F26" s="68">
        <f t="shared" si="24"/>
        <v>1</v>
      </c>
      <c r="G26" s="68">
        <f t="shared" si="24"/>
        <v>1</v>
      </c>
      <c r="H26" s="68">
        <f t="shared" si="24"/>
        <v>1</v>
      </c>
      <c r="I26" s="68">
        <f t="shared" si="24"/>
        <v>1</v>
      </c>
      <c r="J26" s="68">
        <f t="shared" si="24"/>
        <v>1</v>
      </c>
      <c r="K26" s="68">
        <f t="shared" si="24"/>
        <v>1</v>
      </c>
      <c r="L26" s="68">
        <f t="shared" si="24"/>
        <v>1</v>
      </c>
      <c r="M26" s="68">
        <f t="shared" si="24"/>
        <v>1</v>
      </c>
      <c r="N26" s="68">
        <f t="shared" si="24"/>
        <v>1</v>
      </c>
      <c r="O26" s="68">
        <f t="shared" si="24"/>
        <v>1</v>
      </c>
      <c r="P26" s="68">
        <f t="shared" si="24"/>
        <v>1</v>
      </c>
      <c r="Q26" s="68">
        <f t="shared" si="24"/>
        <v>1</v>
      </c>
      <c r="R26" s="68">
        <f t="shared" si="24"/>
        <v>1</v>
      </c>
      <c r="S26" s="68">
        <f t="shared" si="24"/>
        <v>1</v>
      </c>
      <c r="T26" s="68">
        <f t="shared" si="24"/>
        <v>1</v>
      </c>
      <c r="U26" s="68">
        <f t="shared" si="24"/>
        <v>1</v>
      </c>
      <c r="V26" s="68">
        <f t="shared" si="24"/>
        <v>1</v>
      </c>
      <c r="W26" s="68">
        <f t="shared" si="24"/>
        <v>1</v>
      </c>
      <c r="X26" s="68">
        <f t="shared" si="24"/>
        <v>1</v>
      </c>
      <c r="Y26" s="68">
        <f t="shared" si="24"/>
        <v>1</v>
      </c>
      <c r="Z26" s="68">
        <f t="shared" si="24"/>
        <v>1</v>
      </c>
      <c r="AA26" s="68">
        <f t="shared" si="24"/>
        <v>1</v>
      </c>
      <c r="AB26" s="68">
        <f t="shared" si="24"/>
        <v>1</v>
      </c>
      <c r="AC26" s="68">
        <f t="shared" si="24"/>
        <v>1</v>
      </c>
      <c r="AD26" s="68">
        <f t="shared" si="24"/>
        <v>1</v>
      </c>
      <c r="AE26" s="68">
        <f t="shared" si="24"/>
        <v>1</v>
      </c>
      <c r="AF26" s="68">
        <f t="shared" si="24"/>
        <v>1</v>
      </c>
      <c r="AG26" s="68">
        <f t="shared" si="24"/>
        <v>1</v>
      </c>
      <c r="AH26" s="68">
        <f t="shared" si="24"/>
        <v>1</v>
      </c>
      <c r="AI26" s="68">
        <f t="shared" si="24"/>
        <v>1</v>
      </c>
      <c r="AJ26" s="68">
        <f t="shared" si="24"/>
        <v>1</v>
      </c>
      <c r="AK26" s="68">
        <f t="shared" si="24"/>
        <v>1</v>
      </c>
      <c r="AL26" s="68">
        <f t="shared" si="24"/>
        <v>1</v>
      </c>
      <c r="AM26" s="68">
        <f t="shared" si="24"/>
        <v>1</v>
      </c>
      <c r="AN26" s="68">
        <f t="shared" si="24"/>
        <v>1</v>
      </c>
      <c r="AO26" s="68">
        <f t="shared" si="24"/>
        <v>1</v>
      </c>
      <c r="AP26" s="68">
        <f t="shared" si="24"/>
        <v>1</v>
      </c>
      <c r="AQ26" s="68">
        <f t="shared" si="24"/>
        <v>1</v>
      </c>
      <c r="AR26" s="68">
        <f t="shared" si="24"/>
        <v>1</v>
      </c>
      <c r="AS26" s="68">
        <f t="shared" si="24"/>
        <v>1</v>
      </c>
      <c r="AT26" s="68">
        <f t="shared" si="24"/>
        <v>1</v>
      </c>
      <c r="AU26" s="68">
        <f t="shared" si="24"/>
        <v>1</v>
      </c>
      <c r="AV26" s="68">
        <f t="shared" si="24"/>
        <v>1</v>
      </c>
      <c r="AW26" s="68">
        <f t="shared" si="24"/>
        <v>1</v>
      </c>
      <c r="AX26" s="68">
        <f t="shared" si="24"/>
        <v>1</v>
      </c>
      <c r="AY26" s="68">
        <f t="shared" si="24"/>
        <v>1</v>
      </c>
      <c r="AZ26" s="68">
        <f t="shared" si="24"/>
        <v>1</v>
      </c>
      <c r="BA26" s="68">
        <f t="shared" si="24"/>
        <v>1</v>
      </c>
      <c r="BB26" s="68">
        <f t="shared" si="24"/>
        <v>1</v>
      </c>
      <c r="BC26" s="68">
        <f t="shared" si="24"/>
        <v>1</v>
      </c>
      <c r="BD26" s="68">
        <f t="shared" si="24"/>
        <v>1</v>
      </c>
      <c r="BE26" s="68">
        <f t="shared" si="24"/>
        <v>1</v>
      </c>
      <c r="BF26" s="68">
        <f t="shared" si="24"/>
        <v>1</v>
      </c>
      <c r="BG26" s="68">
        <f t="shared" si="24"/>
        <v>1</v>
      </c>
      <c r="BH26" s="68">
        <f t="shared" si="24"/>
        <v>1</v>
      </c>
      <c r="BI26" s="68">
        <f t="shared" si="24"/>
        <v>1</v>
      </c>
      <c r="BJ26" s="68">
        <f t="shared" si="24"/>
        <v>1</v>
      </c>
      <c r="BK26" s="68">
        <f t="shared" si="24"/>
        <v>1</v>
      </c>
      <c r="BL26" s="68">
        <f t="shared" si="24"/>
        <v>1</v>
      </c>
      <c r="BM26" s="68">
        <f t="shared" si="24"/>
        <v>1</v>
      </c>
      <c r="BN26" s="68">
        <f t="shared" si="24"/>
        <v>1</v>
      </c>
      <c r="BO26" s="68">
        <f t="shared" si="24"/>
        <v>1</v>
      </c>
      <c r="BP26" s="68">
        <f t="shared" si="24"/>
        <v>1</v>
      </c>
      <c r="BQ26" s="68">
        <f t="shared" si="24"/>
        <v>1</v>
      </c>
      <c r="BR26" s="68">
        <f t="shared" si="24"/>
        <v>1</v>
      </c>
      <c r="BS26" s="68">
        <f t="shared" si="24"/>
        <v>1</v>
      </c>
      <c r="BT26" s="68">
        <f t="shared" si="24"/>
        <v>1</v>
      </c>
      <c r="BU26" s="68">
        <f t="shared" si="24"/>
        <v>1</v>
      </c>
      <c r="BV26" s="68">
        <f t="shared" si="24"/>
        <v>1</v>
      </c>
      <c r="BW26" s="68">
        <f t="shared" si="24"/>
        <v>1</v>
      </c>
      <c r="BX26" s="68">
        <f t="shared" si="24"/>
        <v>1</v>
      </c>
      <c r="BY26" s="68">
        <f t="shared" si="24"/>
        <v>1</v>
      </c>
      <c r="BZ26" s="68">
        <f t="shared" si="24"/>
        <v>1</v>
      </c>
      <c r="CA26" s="68">
        <f t="shared" si="24"/>
        <v>1</v>
      </c>
      <c r="CB26" s="68">
        <f t="shared" si="24"/>
        <v>1</v>
      </c>
      <c r="CC26" s="68">
        <f t="shared" si="24"/>
        <v>1</v>
      </c>
      <c r="CD26" s="68">
        <f t="shared" si="24"/>
        <v>1</v>
      </c>
      <c r="CE26" s="68">
        <f t="shared" si="24"/>
        <v>1</v>
      </c>
      <c r="CF26" s="68">
        <f t="shared" si="24"/>
        <v>1</v>
      </c>
      <c r="CG26" s="68">
        <f t="shared" si="24"/>
        <v>1</v>
      </c>
      <c r="CH26" s="68">
        <f t="shared" si="24"/>
        <v>1</v>
      </c>
      <c r="CI26" s="68">
        <f t="shared" si="24"/>
        <v>1</v>
      </c>
      <c r="CJ26" s="68">
        <f t="shared" si="24"/>
        <v>1</v>
      </c>
      <c r="CK26" s="68">
        <f t="shared" si="24"/>
        <v>1</v>
      </c>
      <c r="CL26" s="68">
        <f t="shared" si="24"/>
        <v>1</v>
      </c>
      <c r="CM26" s="68">
        <f t="shared" si="24"/>
        <v>1</v>
      </c>
      <c r="CN26" s="68">
        <f t="shared" si="24"/>
        <v>1</v>
      </c>
      <c r="CO26" s="68">
        <f t="shared" si="24"/>
        <v>1</v>
      </c>
      <c r="CP26" s="68">
        <f t="shared" si="24"/>
        <v>1</v>
      </c>
      <c r="CQ26" s="68">
        <f t="shared" si="24"/>
        <v>1</v>
      </c>
      <c r="CR26" s="68">
        <f t="shared" si="24"/>
        <v>1</v>
      </c>
      <c r="CS26" s="68">
        <f t="shared" si="24"/>
        <v>1</v>
      </c>
      <c r="CT26" s="68">
        <f t="shared" si="24"/>
        <v>1</v>
      </c>
      <c r="CU26" s="68">
        <f t="shared" si="24"/>
        <v>1</v>
      </c>
    </row>
    <row r="27" spans="1:100" ht="15.75" customHeight="1" outlineLevel="1">
      <c r="A27" s="84"/>
      <c r="B27" s="21"/>
      <c r="C27" s="21" t="s">
        <v>26</v>
      </c>
      <c r="D27" s="68">
        <f t="shared" si="24"/>
        <v>1</v>
      </c>
      <c r="E27" s="68">
        <f t="shared" si="24"/>
        <v>1</v>
      </c>
      <c r="F27" s="68">
        <f t="shared" si="24"/>
        <v>1</v>
      </c>
      <c r="G27" s="68">
        <f t="shared" si="24"/>
        <v>1</v>
      </c>
      <c r="H27" s="68">
        <f t="shared" si="24"/>
        <v>1</v>
      </c>
      <c r="I27" s="68">
        <f t="shared" si="24"/>
        <v>1</v>
      </c>
      <c r="J27" s="68">
        <f t="shared" si="24"/>
        <v>1</v>
      </c>
      <c r="K27" s="68">
        <f t="shared" si="24"/>
        <v>1</v>
      </c>
      <c r="L27" s="68">
        <f t="shared" si="24"/>
        <v>1</v>
      </c>
      <c r="M27" s="68">
        <f t="shared" si="24"/>
        <v>1</v>
      </c>
      <c r="N27" s="68">
        <f t="shared" si="24"/>
        <v>1</v>
      </c>
      <c r="O27" s="68">
        <f t="shared" si="24"/>
        <v>1</v>
      </c>
      <c r="P27" s="68">
        <f t="shared" si="24"/>
        <v>1</v>
      </c>
      <c r="Q27" s="68">
        <f t="shared" si="24"/>
        <v>1</v>
      </c>
      <c r="R27" s="68">
        <f t="shared" si="24"/>
        <v>1</v>
      </c>
      <c r="S27" s="68">
        <f t="shared" si="24"/>
        <v>1</v>
      </c>
      <c r="T27" s="68">
        <f t="shared" si="24"/>
        <v>1</v>
      </c>
      <c r="U27" s="68">
        <f t="shared" si="24"/>
        <v>1</v>
      </c>
      <c r="V27" s="68">
        <f t="shared" si="24"/>
        <v>1</v>
      </c>
      <c r="W27" s="68">
        <f t="shared" si="24"/>
        <v>1</v>
      </c>
      <c r="X27" s="68">
        <f t="shared" si="24"/>
        <v>1</v>
      </c>
      <c r="Y27" s="68">
        <f t="shared" si="24"/>
        <v>1</v>
      </c>
      <c r="Z27" s="68">
        <f t="shared" si="24"/>
        <v>1</v>
      </c>
      <c r="AA27" s="68">
        <f t="shared" si="24"/>
        <v>1</v>
      </c>
      <c r="AB27" s="68">
        <f t="shared" si="24"/>
        <v>1</v>
      </c>
      <c r="AC27" s="68">
        <f t="shared" si="24"/>
        <v>1</v>
      </c>
      <c r="AD27" s="68">
        <f t="shared" si="24"/>
        <v>1</v>
      </c>
      <c r="AE27" s="68">
        <f t="shared" si="24"/>
        <v>1</v>
      </c>
      <c r="AF27" s="68">
        <f t="shared" si="24"/>
        <v>1</v>
      </c>
      <c r="AG27" s="68">
        <f t="shared" si="24"/>
        <v>1</v>
      </c>
      <c r="AH27" s="68">
        <f t="shared" si="24"/>
        <v>1</v>
      </c>
      <c r="AI27" s="68">
        <f t="shared" si="24"/>
        <v>1</v>
      </c>
      <c r="AJ27" s="68">
        <f t="shared" si="24"/>
        <v>1</v>
      </c>
      <c r="AK27" s="68">
        <f t="shared" si="24"/>
        <v>1</v>
      </c>
      <c r="AL27" s="68">
        <f t="shared" si="24"/>
        <v>1</v>
      </c>
      <c r="AM27" s="68">
        <f t="shared" si="24"/>
        <v>1</v>
      </c>
      <c r="AN27" s="68">
        <f t="shared" si="24"/>
        <v>1</v>
      </c>
      <c r="AO27" s="68">
        <f t="shared" si="24"/>
        <v>1</v>
      </c>
      <c r="AP27" s="68">
        <f t="shared" si="24"/>
        <v>1</v>
      </c>
      <c r="AQ27" s="68">
        <f t="shared" si="24"/>
        <v>1</v>
      </c>
      <c r="AR27" s="68">
        <f t="shared" si="24"/>
        <v>1</v>
      </c>
      <c r="AS27" s="68">
        <f t="shared" si="24"/>
        <v>1</v>
      </c>
      <c r="AT27" s="68">
        <f t="shared" si="24"/>
        <v>1</v>
      </c>
      <c r="AU27" s="68">
        <f t="shared" si="24"/>
        <v>1</v>
      </c>
      <c r="AV27" s="68">
        <f t="shared" si="24"/>
        <v>1</v>
      </c>
      <c r="AW27" s="68">
        <f t="shared" si="24"/>
        <v>1</v>
      </c>
      <c r="AX27" s="68">
        <f t="shared" si="24"/>
        <v>1</v>
      </c>
      <c r="AY27" s="68">
        <f t="shared" si="24"/>
        <v>1</v>
      </c>
      <c r="AZ27" s="68">
        <f t="shared" si="24"/>
        <v>1</v>
      </c>
      <c r="BA27" s="68">
        <f t="shared" si="24"/>
        <v>1</v>
      </c>
      <c r="BB27" s="68">
        <f t="shared" si="24"/>
        <v>1</v>
      </c>
      <c r="BC27" s="68">
        <f t="shared" si="24"/>
        <v>1</v>
      </c>
      <c r="BD27" s="68">
        <f t="shared" si="24"/>
        <v>1</v>
      </c>
      <c r="BE27" s="68">
        <f t="shared" si="24"/>
        <v>1</v>
      </c>
      <c r="BF27" s="68">
        <f t="shared" si="24"/>
        <v>1</v>
      </c>
      <c r="BG27" s="68">
        <f t="shared" si="24"/>
        <v>1</v>
      </c>
      <c r="BH27" s="68">
        <f t="shared" si="24"/>
        <v>1</v>
      </c>
      <c r="BI27" s="68">
        <f t="shared" si="24"/>
        <v>1</v>
      </c>
      <c r="BJ27" s="68">
        <f t="shared" si="24"/>
        <v>1</v>
      </c>
      <c r="BK27" s="68">
        <f t="shared" si="24"/>
        <v>1</v>
      </c>
      <c r="BL27" s="68">
        <f t="shared" si="24"/>
        <v>1</v>
      </c>
      <c r="BM27" s="68">
        <f t="shared" si="24"/>
        <v>1</v>
      </c>
      <c r="BN27" s="68">
        <f t="shared" si="24"/>
        <v>1</v>
      </c>
      <c r="BO27" s="68">
        <f t="shared" si="24"/>
        <v>1</v>
      </c>
      <c r="BP27" s="68">
        <f t="shared" si="24"/>
        <v>1</v>
      </c>
      <c r="BQ27" s="68">
        <f t="shared" si="24"/>
        <v>1</v>
      </c>
      <c r="BR27" s="68">
        <f t="shared" si="24"/>
        <v>1</v>
      </c>
      <c r="BS27" s="68">
        <f t="shared" si="24"/>
        <v>1</v>
      </c>
      <c r="BT27" s="68">
        <f t="shared" si="24"/>
        <v>1</v>
      </c>
      <c r="BU27" s="68">
        <f t="shared" si="24"/>
        <v>1</v>
      </c>
      <c r="BV27" s="68">
        <f t="shared" si="24"/>
        <v>1</v>
      </c>
      <c r="BW27" s="68">
        <f t="shared" si="24"/>
        <v>1</v>
      </c>
      <c r="BX27" s="68">
        <f t="shared" si="24"/>
        <v>1</v>
      </c>
      <c r="BY27" s="68">
        <f t="shared" si="24"/>
        <v>1</v>
      </c>
      <c r="BZ27" s="68">
        <f t="shared" si="24"/>
        <v>1</v>
      </c>
      <c r="CA27" s="68">
        <f t="shared" si="24"/>
        <v>1</v>
      </c>
      <c r="CB27" s="68">
        <f t="shared" si="24"/>
        <v>1</v>
      </c>
      <c r="CC27" s="68">
        <f t="shared" si="24"/>
        <v>1</v>
      </c>
      <c r="CD27" s="68">
        <f t="shared" si="24"/>
        <v>1</v>
      </c>
      <c r="CE27" s="68">
        <f t="shared" si="24"/>
        <v>1</v>
      </c>
      <c r="CF27" s="68">
        <f t="shared" si="24"/>
        <v>1</v>
      </c>
      <c r="CG27" s="68">
        <f t="shared" si="24"/>
        <v>1</v>
      </c>
      <c r="CH27" s="68">
        <f t="shared" si="24"/>
        <v>1</v>
      </c>
      <c r="CI27" s="68">
        <f t="shared" si="24"/>
        <v>1</v>
      </c>
      <c r="CJ27" s="68">
        <f t="shared" si="24"/>
        <v>1</v>
      </c>
      <c r="CK27" s="68">
        <f t="shared" si="24"/>
        <v>1</v>
      </c>
      <c r="CL27" s="68">
        <f t="shared" si="24"/>
        <v>1</v>
      </c>
      <c r="CM27" s="68">
        <f t="shared" si="24"/>
        <v>1</v>
      </c>
      <c r="CN27" s="68">
        <f t="shared" si="24"/>
        <v>1</v>
      </c>
      <c r="CO27" s="68">
        <f t="shared" si="24"/>
        <v>1</v>
      </c>
      <c r="CP27" s="68">
        <f t="shared" si="24"/>
        <v>1</v>
      </c>
      <c r="CQ27" s="68">
        <f t="shared" si="24"/>
        <v>1</v>
      </c>
      <c r="CR27" s="68">
        <f t="shared" si="24"/>
        <v>1</v>
      </c>
      <c r="CS27" s="68">
        <f t="shared" si="24"/>
        <v>1</v>
      </c>
      <c r="CT27" s="68">
        <f t="shared" si="24"/>
        <v>1</v>
      </c>
      <c r="CU27" s="68">
        <f t="shared" si="24"/>
        <v>1</v>
      </c>
    </row>
    <row r="28" spans="1:100" ht="15.75" customHeight="1" outlineLevel="1">
      <c r="A28" s="84"/>
      <c r="B28" s="21"/>
      <c r="C28" s="21" t="s">
        <v>27</v>
      </c>
      <c r="D28" s="68">
        <f t="shared" si="24"/>
        <v>1</v>
      </c>
      <c r="E28" s="68">
        <f t="shared" si="24"/>
        <v>1</v>
      </c>
      <c r="F28" s="68">
        <f t="shared" si="24"/>
        <v>1</v>
      </c>
      <c r="G28" s="68">
        <f t="shared" si="24"/>
        <v>1</v>
      </c>
      <c r="H28" s="68">
        <f t="shared" si="24"/>
        <v>1</v>
      </c>
      <c r="I28" s="68">
        <f t="shared" si="24"/>
        <v>1</v>
      </c>
      <c r="J28" s="68">
        <f t="shared" si="24"/>
        <v>1</v>
      </c>
      <c r="K28" s="68">
        <f t="shared" si="24"/>
        <v>1</v>
      </c>
      <c r="L28" s="68">
        <f t="shared" si="24"/>
        <v>1</v>
      </c>
      <c r="M28" s="68">
        <f t="shared" si="24"/>
        <v>1</v>
      </c>
      <c r="N28" s="68">
        <f t="shared" si="24"/>
        <v>1</v>
      </c>
      <c r="O28" s="68">
        <f t="shared" si="24"/>
        <v>1</v>
      </c>
      <c r="P28" s="68">
        <f t="shared" si="24"/>
        <v>1</v>
      </c>
      <c r="Q28" s="68">
        <f t="shared" si="24"/>
        <v>1</v>
      </c>
      <c r="R28" s="68">
        <f t="shared" si="24"/>
        <v>1</v>
      </c>
      <c r="S28" s="68">
        <f t="shared" si="24"/>
        <v>1</v>
      </c>
      <c r="T28" s="68">
        <f t="shared" si="24"/>
        <v>1</v>
      </c>
      <c r="U28" s="68">
        <f t="shared" si="24"/>
        <v>1</v>
      </c>
      <c r="V28" s="68">
        <f t="shared" si="24"/>
        <v>1</v>
      </c>
      <c r="W28" s="68">
        <f t="shared" si="24"/>
        <v>1</v>
      </c>
      <c r="X28" s="68">
        <f t="shared" si="24"/>
        <v>1</v>
      </c>
      <c r="Y28" s="68">
        <f t="shared" si="24"/>
        <v>1</v>
      </c>
      <c r="Z28" s="68">
        <f t="shared" si="24"/>
        <v>1</v>
      </c>
      <c r="AA28" s="68">
        <f t="shared" si="24"/>
        <v>1</v>
      </c>
      <c r="AB28" s="68">
        <f t="shared" si="24"/>
        <v>1</v>
      </c>
      <c r="AC28" s="68">
        <f t="shared" si="24"/>
        <v>1</v>
      </c>
      <c r="AD28" s="68">
        <f t="shared" si="24"/>
        <v>1</v>
      </c>
      <c r="AE28" s="68">
        <f t="shared" si="24"/>
        <v>1</v>
      </c>
      <c r="AF28" s="68">
        <f t="shared" si="24"/>
        <v>1</v>
      </c>
      <c r="AG28" s="68">
        <f t="shared" si="24"/>
        <v>1</v>
      </c>
      <c r="AH28" s="68">
        <f t="shared" si="24"/>
        <v>1</v>
      </c>
      <c r="AI28" s="68">
        <f t="shared" si="24"/>
        <v>1</v>
      </c>
      <c r="AJ28" s="68">
        <f t="shared" si="24"/>
        <v>1</v>
      </c>
      <c r="AK28" s="68">
        <f t="shared" si="24"/>
        <v>1</v>
      </c>
      <c r="AL28" s="68">
        <f t="shared" si="24"/>
        <v>1</v>
      </c>
      <c r="AM28" s="68">
        <f t="shared" si="24"/>
        <v>1</v>
      </c>
      <c r="AN28" s="68">
        <f t="shared" si="24"/>
        <v>1</v>
      </c>
      <c r="AO28" s="68">
        <f t="shared" si="24"/>
        <v>1</v>
      </c>
      <c r="AP28" s="68">
        <f t="shared" si="24"/>
        <v>1</v>
      </c>
      <c r="AQ28" s="68">
        <f t="shared" si="24"/>
        <v>1</v>
      </c>
      <c r="AR28" s="68">
        <f t="shared" si="24"/>
        <v>1</v>
      </c>
      <c r="AS28" s="68">
        <f t="shared" si="24"/>
        <v>1</v>
      </c>
      <c r="AT28" s="68">
        <f t="shared" si="24"/>
        <v>1</v>
      </c>
      <c r="AU28" s="68">
        <f t="shared" si="24"/>
        <v>1</v>
      </c>
      <c r="AV28" s="68">
        <f t="shared" si="24"/>
        <v>1</v>
      </c>
      <c r="AW28" s="68">
        <f t="shared" si="24"/>
        <v>1</v>
      </c>
      <c r="AX28" s="68">
        <f t="shared" si="24"/>
        <v>1</v>
      </c>
      <c r="AY28" s="68">
        <f t="shared" si="24"/>
        <v>1</v>
      </c>
      <c r="AZ28" s="68">
        <f t="shared" si="24"/>
        <v>1</v>
      </c>
      <c r="BA28" s="68">
        <f t="shared" si="24"/>
        <v>1</v>
      </c>
      <c r="BB28" s="68">
        <f t="shared" si="24"/>
        <v>1</v>
      </c>
      <c r="BC28" s="68">
        <f t="shared" si="24"/>
        <v>2</v>
      </c>
      <c r="BD28" s="68">
        <f t="shared" si="24"/>
        <v>2</v>
      </c>
      <c r="BE28" s="68">
        <f t="shared" si="24"/>
        <v>2</v>
      </c>
      <c r="BF28" s="68">
        <f t="shared" si="24"/>
        <v>2</v>
      </c>
      <c r="BG28" s="68">
        <f t="shared" si="24"/>
        <v>2</v>
      </c>
      <c r="BH28" s="68">
        <f t="shared" si="24"/>
        <v>2</v>
      </c>
      <c r="BI28" s="68">
        <f t="shared" si="24"/>
        <v>2</v>
      </c>
      <c r="BJ28" s="68">
        <f t="shared" si="24"/>
        <v>2</v>
      </c>
      <c r="BK28" s="68">
        <f t="shared" si="24"/>
        <v>2</v>
      </c>
      <c r="BL28" s="68">
        <f t="shared" si="24"/>
        <v>2</v>
      </c>
      <c r="BM28" s="68">
        <f t="shared" si="24"/>
        <v>2</v>
      </c>
      <c r="BN28" s="68">
        <f t="shared" si="24"/>
        <v>2</v>
      </c>
      <c r="BO28" s="68">
        <f t="shared" ref="BO28:CU28" si="25">BO87</f>
        <v>2</v>
      </c>
      <c r="BP28" s="68">
        <f t="shared" si="25"/>
        <v>2</v>
      </c>
      <c r="BQ28" s="68">
        <f t="shared" si="25"/>
        <v>2</v>
      </c>
      <c r="BR28" s="68">
        <f t="shared" si="25"/>
        <v>2</v>
      </c>
      <c r="BS28" s="68">
        <f t="shared" si="25"/>
        <v>2</v>
      </c>
      <c r="BT28" s="68">
        <f t="shared" si="25"/>
        <v>2</v>
      </c>
      <c r="BU28" s="68">
        <f t="shared" si="25"/>
        <v>2</v>
      </c>
      <c r="BV28" s="68">
        <f t="shared" si="25"/>
        <v>2</v>
      </c>
      <c r="BW28" s="68">
        <f t="shared" si="25"/>
        <v>2</v>
      </c>
      <c r="BX28" s="68">
        <f t="shared" si="25"/>
        <v>2</v>
      </c>
      <c r="BY28" s="68">
        <f t="shared" si="25"/>
        <v>2</v>
      </c>
      <c r="BZ28" s="68">
        <f t="shared" si="25"/>
        <v>2</v>
      </c>
      <c r="CA28" s="68">
        <f t="shared" si="25"/>
        <v>2</v>
      </c>
      <c r="CB28" s="68">
        <f t="shared" si="25"/>
        <v>2</v>
      </c>
      <c r="CC28" s="68">
        <f t="shared" si="25"/>
        <v>2</v>
      </c>
      <c r="CD28" s="68">
        <f t="shared" si="25"/>
        <v>2</v>
      </c>
      <c r="CE28" s="68">
        <f t="shared" si="25"/>
        <v>2</v>
      </c>
      <c r="CF28" s="68">
        <f t="shared" si="25"/>
        <v>2</v>
      </c>
      <c r="CG28" s="68">
        <f t="shared" si="25"/>
        <v>2</v>
      </c>
      <c r="CH28" s="68">
        <f t="shared" si="25"/>
        <v>2</v>
      </c>
      <c r="CI28" s="68">
        <f t="shared" si="25"/>
        <v>2</v>
      </c>
      <c r="CJ28" s="68">
        <f t="shared" si="25"/>
        <v>2</v>
      </c>
      <c r="CK28" s="68">
        <f t="shared" si="25"/>
        <v>2</v>
      </c>
      <c r="CL28" s="68">
        <f t="shared" si="25"/>
        <v>2</v>
      </c>
      <c r="CM28" s="68">
        <f t="shared" si="25"/>
        <v>2</v>
      </c>
      <c r="CN28" s="68">
        <f t="shared" si="25"/>
        <v>2</v>
      </c>
      <c r="CO28" s="68">
        <f t="shared" si="25"/>
        <v>2</v>
      </c>
      <c r="CP28" s="68">
        <f t="shared" si="25"/>
        <v>2</v>
      </c>
      <c r="CQ28" s="68">
        <f t="shared" si="25"/>
        <v>2</v>
      </c>
      <c r="CR28" s="68">
        <f t="shared" si="25"/>
        <v>2</v>
      </c>
      <c r="CS28" s="68">
        <f t="shared" si="25"/>
        <v>2</v>
      </c>
      <c r="CT28" s="68">
        <f t="shared" si="25"/>
        <v>2</v>
      </c>
      <c r="CU28" s="68">
        <f t="shared" si="25"/>
        <v>2</v>
      </c>
    </row>
    <row r="29" spans="1:100" ht="15.75" customHeight="1" outlineLevel="1">
      <c r="A29" s="84"/>
      <c r="B29" s="21"/>
      <c r="C29" s="21" t="s">
        <v>28</v>
      </c>
      <c r="D29" s="68">
        <f t="shared" ref="D29:CU31" si="26">D88</f>
        <v>1</v>
      </c>
      <c r="E29" s="68">
        <f t="shared" si="26"/>
        <v>1</v>
      </c>
      <c r="F29" s="68">
        <f t="shared" si="26"/>
        <v>1</v>
      </c>
      <c r="G29" s="68">
        <f t="shared" si="26"/>
        <v>1</v>
      </c>
      <c r="H29" s="68">
        <f t="shared" si="26"/>
        <v>1</v>
      </c>
      <c r="I29" s="68">
        <f t="shared" si="26"/>
        <v>1</v>
      </c>
      <c r="J29" s="68">
        <f t="shared" si="26"/>
        <v>1</v>
      </c>
      <c r="K29" s="68">
        <f t="shared" si="26"/>
        <v>1</v>
      </c>
      <c r="L29" s="68">
        <f t="shared" si="26"/>
        <v>1</v>
      </c>
      <c r="M29" s="68">
        <f t="shared" si="26"/>
        <v>1</v>
      </c>
      <c r="N29" s="68">
        <f t="shared" si="26"/>
        <v>1</v>
      </c>
      <c r="O29" s="68">
        <f t="shared" si="26"/>
        <v>1</v>
      </c>
      <c r="P29" s="68">
        <f t="shared" si="26"/>
        <v>1</v>
      </c>
      <c r="Q29" s="68">
        <f t="shared" si="26"/>
        <v>1</v>
      </c>
      <c r="R29" s="68">
        <f t="shared" si="26"/>
        <v>1</v>
      </c>
      <c r="S29" s="68">
        <f t="shared" si="26"/>
        <v>1</v>
      </c>
      <c r="T29" s="68">
        <f t="shared" si="26"/>
        <v>1</v>
      </c>
      <c r="U29" s="68">
        <f t="shared" si="26"/>
        <v>1</v>
      </c>
      <c r="V29" s="68">
        <f t="shared" si="26"/>
        <v>1</v>
      </c>
      <c r="W29" s="68">
        <f t="shared" si="26"/>
        <v>1</v>
      </c>
      <c r="X29" s="68">
        <f t="shared" si="26"/>
        <v>1</v>
      </c>
      <c r="Y29" s="68">
        <f t="shared" si="26"/>
        <v>1</v>
      </c>
      <c r="Z29" s="68">
        <f t="shared" si="26"/>
        <v>1</v>
      </c>
      <c r="AA29" s="68">
        <f t="shared" si="26"/>
        <v>1</v>
      </c>
      <c r="AB29" s="68">
        <f t="shared" si="26"/>
        <v>1</v>
      </c>
      <c r="AC29" s="68">
        <f t="shared" si="26"/>
        <v>1</v>
      </c>
      <c r="AD29" s="68">
        <f t="shared" si="26"/>
        <v>1</v>
      </c>
      <c r="AE29" s="68">
        <f t="shared" si="26"/>
        <v>1</v>
      </c>
      <c r="AF29" s="68">
        <f t="shared" si="26"/>
        <v>1</v>
      </c>
      <c r="AG29" s="68">
        <f t="shared" si="26"/>
        <v>1</v>
      </c>
      <c r="AH29" s="68">
        <f t="shared" si="26"/>
        <v>1</v>
      </c>
      <c r="AI29" s="68">
        <f t="shared" si="26"/>
        <v>1</v>
      </c>
      <c r="AJ29" s="68">
        <f t="shared" si="26"/>
        <v>1</v>
      </c>
      <c r="AK29" s="68">
        <f t="shared" si="26"/>
        <v>1</v>
      </c>
      <c r="AL29" s="68">
        <f t="shared" si="26"/>
        <v>1</v>
      </c>
      <c r="AM29" s="68">
        <f t="shared" si="26"/>
        <v>1</v>
      </c>
      <c r="AN29" s="68">
        <f t="shared" si="26"/>
        <v>1</v>
      </c>
      <c r="AO29" s="68">
        <f t="shared" si="26"/>
        <v>1</v>
      </c>
      <c r="AP29" s="68">
        <f t="shared" si="26"/>
        <v>1</v>
      </c>
      <c r="AQ29" s="68">
        <f t="shared" si="26"/>
        <v>1</v>
      </c>
      <c r="AR29" s="68">
        <f t="shared" si="26"/>
        <v>1</v>
      </c>
      <c r="AS29" s="68">
        <f t="shared" si="26"/>
        <v>1</v>
      </c>
      <c r="AT29" s="68">
        <f t="shared" si="26"/>
        <v>1</v>
      </c>
      <c r="AU29" s="68">
        <f t="shared" si="26"/>
        <v>1</v>
      </c>
      <c r="AV29" s="68">
        <f t="shared" si="26"/>
        <v>1</v>
      </c>
      <c r="AW29" s="68">
        <f t="shared" si="26"/>
        <v>1</v>
      </c>
      <c r="AX29" s="68">
        <f t="shared" si="26"/>
        <v>1</v>
      </c>
      <c r="AY29" s="68">
        <f t="shared" si="26"/>
        <v>1</v>
      </c>
      <c r="AZ29" s="68">
        <f t="shared" si="26"/>
        <v>1</v>
      </c>
      <c r="BA29" s="68">
        <f t="shared" si="26"/>
        <v>1</v>
      </c>
      <c r="BB29" s="68">
        <f t="shared" si="26"/>
        <v>1</v>
      </c>
      <c r="BC29" s="68">
        <f t="shared" si="26"/>
        <v>2</v>
      </c>
      <c r="BD29" s="68">
        <f t="shared" si="26"/>
        <v>2</v>
      </c>
      <c r="BE29" s="68">
        <f t="shared" si="26"/>
        <v>2</v>
      </c>
      <c r="BF29" s="68">
        <f t="shared" si="26"/>
        <v>2</v>
      </c>
      <c r="BG29" s="68">
        <f t="shared" si="26"/>
        <v>2</v>
      </c>
      <c r="BH29" s="68">
        <f t="shared" si="26"/>
        <v>2</v>
      </c>
      <c r="BI29" s="68">
        <f t="shared" si="26"/>
        <v>2</v>
      </c>
      <c r="BJ29" s="68">
        <f t="shared" si="26"/>
        <v>2</v>
      </c>
      <c r="BK29" s="68">
        <f t="shared" si="26"/>
        <v>2</v>
      </c>
      <c r="BL29" s="68">
        <f t="shared" si="26"/>
        <v>2</v>
      </c>
      <c r="BM29" s="68">
        <f t="shared" si="26"/>
        <v>2</v>
      </c>
      <c r="BN29" s="68">
        <f t="shared" si="26"/>
        <v>2</v>
      </c>
      <c r="BO29" s="68">
        <f t="shared" si="26"/>
        <v>2</v>
      </c>
      <c r="BP29" s="68">
        <f t="shared" si="26"/>
        <v>2</v>
      </c>
      <c r="BQ29" s="68">
        <f t="shared" si="26"/>
        <v>2</v>
      </c>
      <c r="BR29" s="68">
        <f t="shared" si="26"/>
        <v>2</v>
      </c>
      <c r="BS29" s="68">
        <f t="shared" si="26"/>
        <v>2</v>
      </c>
      <c r="BT29" s="68">
        <f t="shared" si="26"/>
        <v>2</v>
      </c>
      <c r="BU29" s="68">
        <f t="shared" si="26"/>
        <v>2</v>
      </c>
      <c r="BV29" s="68">
        <f t="shared" si="26"/>
        <v>2</v>
      </c>
      <c r="BW29" s="68">
        <f t="shared" si="26"/>
        <v>2</v>
      </c>
      <c r="BX29" s="68">
        <f t="shared" si="26"/>
        <v>2</v>
      </c>
      <c r="BY29" s="68">
        <f t="shared" si="26"/>
        <v>2</v>
      </c>
      <c r="BZ29" s="68">
        <f t="shared" si="26"/>
        <v>2</v>
      </c>
      <c r="CA29" s="68">
        <f t="shared" si="26"/>
        <v>2</v>
      </c>
      <c r="CB29" s="68">
        <f t="shared" si="26"/>
        <v>2</v>
      </c>
      <c r="CC29" s="68">
        <f t="shared" si="26"/>
        <v>2</v>
      </c>
      <c r="CD29" s="68">
        <f t="shared" si="26"/>
        <v>2</v>
      </c>
      <c r="CE29" s="68">
        <f t="shared" si="26"/>
        <v>2</v>
      </c>
      <c r="CF29" s="68">
        <f t="shared" si="26"/>
        <v>2</v>
      </c>
      <c r="CG29" s="68">
        <f t="shared" si="26"/>
        <v>2</v>
      </c>
      <c r="CH29" s="68">
        <f t="shared" si="26"/>
        <v>2</v>
      </c>
      <c r="CI29" s="68">
        <f t="shared" si="26"/>
        <v>2</v>
      </c>
      <c r="CJ29" s="68">
        <f t="shared" si="26"/>
        <v>2</v>
      </c>
      <c r="CK29" s="68">
        <f t="shared" si="26"/>
        <v>2</v>
      </c>
      <c r="CL29" s="68">
        <f t="shared" si="26"/>
        <v>2</v>
      </c>
      <c r="CM29" s="68">
        <f t="shared" si="26"/>
        <v>2</v>
      </c>
      <c r="CN29" s="68">
        <f t="shared" si="26"/>
        <v>2</v>
      </c>
      <c r="CO29" s="68">
        <f t="shared" si="26"/>
        <v>2</v>
      </c>
      <c r="CP29" s="68">
        <f t="shared" si="26"/>
        <v>2</v>
      </c>
      <c r="CQ29" s="68">
        <f t="shared" si="26"/>
        <v>2</v>
      </c>
      <c r="CR29" s="68">
        <f t="shared" si="26"/>
        <v>2</v>
      </c>
      <c r="CS29" s="68">
        <f t="shared" si="26"/>
        <v>2</v>
      </c>
      <c r="CT29" s="68">
        <f t="shared" si="26"/>
        <v>2</v>
      </c>
      <c r="CU29" s="68">
        <f t="shared" si="26"/>
        <v>2</v>
      </c>
    </row>
    <row r="30" spans="1:100" ht="15.75" customHeight="1" outlineLevel="1">
      <c r="A30" s="84"/>
      <c r="B30" s="21"/>
      <c r="C30" s="21" t="s">
        <v>29</v>
      </c>
      <c r="D30" s="68">
        <f t="shared" si="26"/>
        <v>1</v>
      </c>
      <c r="E30" s="68">
        <f t="shared" si="26"/>
        <v>1</v>
      </c>
      <c r="F30" s="68">
        <f t="shared" si="26"/>
        <v>1</v>
      </c>
      <c r="G30" s="68">
        <f t="shared" si="26"/>
        <v>1</v>
      </c>
      <c r="H30" s="68">
        <f t="shared" si="26"/>
        <v>1</v>
      </c>
      <c r="I30" s="68">
        <f t="shared" si="26"/>
        <v>1</v>
      </c>
      <c r="J30" s="68">
        <f t="shared" si="26"/>
        <v>1</v>
      </c>
      <c r="K30" s="68">
        <f t="shared" si="26"/>
        <v>1</v>
      </c>
      <c r="L30" s="68">
        <f t="shared" si="26"/>
        <v>1</v>
      </c>
      <c r="M30" s="68">
        <f t="shared" si="26"/>
        <v>1</v>
      </c>
      <c r="N30" s="68">
        <f t="shared" si="26"/>
        <v>1</v>
      </c>
      <c r="O30" s="68">
        <f t="shared" si="26"/>
        <v>1</v>
      </c>
      <c r="P30" s="68">
        <f t="shared" si="26"/>
        <v>1</v>
      </c>
      <c r="Q30" s="68">
        <f t="shared" si="26"/>
        <v>1</v>
      </c>
      <c r="R30" s="68">
        <f t="shared" si="26"/>
        <v>1</v>
      </c>
      <c r="S30" s="68">
        <f t="shared" si="26"/>
        <v>1</v>
      </c>
      <c r="T30" s="68">
        <f t="shared" si="26"/>
        <v>1</v>
      </c>
      <c r="U30" s="68">
        <f t="shared" si="26"/>
        <v>1</v>
      </c>
      <c r="V30" s="68">
        <f t="shared" si="26"/>
        <v>1</v>
      </c>
      <c r="W30" s="68">
        <f t="shared" si="26"/>
        <v>1</v>
      </c>
      <c r="X30" s="68">
        <f t="shared" si="26"/>
        <v>1</v>
      </c>
      <c r="Y30" s="68">
        <f t="shared" si="26"/>
        <v>1</v>
      </c>
      <c r="Z30" s="68">
        <f t="shared" si="26"/>
        <v>1</v>
      </c>
      <c r="AA30" s="68">
        <f t="shared" si="26"/>
        <v>1</v>
      </c>
      <c r="AB30" s="68">
        <f t="shared" si="26"/>
        <v>1</v>
      </c>
      <c r="AC30" s="68">
        <f t="shared" si="26"/>
        <v>1</v>
      </c>
      <c r="AD30" s="68">
        <f t="shared" si="26"/>
        <v>1</v>
      </c>
      <c r="AE30" s="68">
        <f t="shared" si="26"/>
        <v>1</v>
      </c>
      <c r="AF30" s="68">
        <f t="shared" si="26"/>
        <v>1</v>
      </c>
      <c r="AG30" s="68">
        <f t="shared" si="26"/>
        <v>1</v>
      </c>
      <c r="AH30" s="68">
        <f t="shared" si="26"/>
        <v>1</v>
      </c>
      <c r="AI30" s="68">
        <f t="shared" si="26"/>
        <v>1</v>
      </c>
      <c r="AJ30" s="68">
        <f t="shared" si="26"/>
        <v>1</v>
      </c>
      <c r="AK30" s="68">
        <f t="shared" si="26"/>
        <v>1</v>
      </c>
      <c r="AL30" s="68">
        <f t="shared" si="26"/>
        <v>1</v>
      </c>
      <c r="AM30" s="68">
        <f t="shared" si="26"/>
        <v>1</v>
      </c>
      <c r="AN30" s="68">
        <f t="shared" si="26"/>
        <v>1</v>
      </c>
      <c r="AO30" s="68">
        <f t="shared" si="26"/>
        <v>1</v>
      </c>
      <c r="AP30" s="68">
        <f t="shared" si="26"/>
        <v>1</v>
      </c>
      <c r="AQ30" s="68">
        <f t="shared" si="26"/>
        <v>1</v>
      </c>
      <c r="AR30" s="68">
        <f t="shared" si="26"/>
        <v>1</v>
      </c>
      <c r="AS30" s="68">
        <f t="shared" si="26"/>
        <v>1</v>
      </c>
      <c r="AT30" s="68">
        <f t="shared" si="26"/>
        <v>1</v>
      </c>
      <c r="AU30" s="68">
        <f t="shared" si="26"/>
        <v>1</v>
      </c>
      <c r="AV30" s="68">
        <f t="shared" si="26"/>
        <v>1</v>
      </c>
      <c r="AW30" s="68">
        <f t="shared" si="26"/>
        <v>1</v>
      </c>
      <c r="AX30" s="68">
        <f t="shared" si="26"/>
        <v>1</v>
      </c>
      <c r="AY30" s="68">
        <f t="shared" si="26"/>
        <v>1</v>
      </c>
      <c r="AZ30" s="68">
        <f t="shared" si="26"/>
        <v>1</v>
      </c>
      <c r="BA30" s="68">
        <f t="shared" si="26"/>
        <v>1</v>
      </c>
      <c r="BB30" s="68">
        <f t="shared" si="26"/>
        <v>1</v>
      </c>
      <c r="BC30" s="68">
        <f t="shared" si="26"/>
        <v>1</v>
      </c>
      <c r="BD30" s="68">
        <f t="shared" si="26"/>
        <v>1</v>
      </c>
      <c r="BE30" s="68">
        <f t="shared" si="26"/>
        <v>1</v>
      </c>
      <c r="BF30" s="68">
        <f t="shared" si="26"/>
        <v>1</v>
      </c>
      <c r="BG30" s="68">
        <f t="shared" si="26"/>
        <v>1</v>
      </c>
      <c r="BH30" s="68">
        <f t="shared" si="26"/>
        <v>1</v>
      </c>
      <c r="BI30" s="68">
        <f t="shared" si="26"/>
        <v>1</v>
      </c>
      <c r="BJ30" s="68">
        <f t="shared" si="26"/>
        <v>1</v>
      </c>
      <c r="BK30" s="68">
        <f t="shared" si="26"/>
        <v>1</v>
      </c>
      <c r="BL30" s="68">
        <f t="shared" si="26"/>
        <v>1</v>
      </c>
      <c r="BM30" s="68">
        <f t="shared" si="26"/>
        <v>1</v>
      </c>
      <c r="BN30" s="68">
        <f t="shared" si="26"/>
        <v>1</v>
      </c>
      <c r="BO30" s="68">
        <f t="shared" si="26"/>
        <v>1</v>
      </c>
      <c r="BP30" s="68">
        <f t="shared" si="26"/>
        <v>1</v>
      </c>
      <c r="BQ30" s="68">
        <f t="shared" si="26"/>
        <v>1</v>
      </c>
      <c r="BR30" s="68">
        <f t="shared" si="26"/>
        <v>1</v>
      </c>
      <c r="BS30" s="68">
        <f t="shared" si="26"/>
        <v>1</v>
      </c>
      <c r="BT30" s="68">
        <f t="shared" si="26"/>
        <v>1</v>
      </c>
      <c r="BU30" s="68">
        <f t="shared" si="26"/>
        <v>1</v>
      </c>
      <c r="BV30" s="68">
        <f t="shared" si="26"/>
        <v>1</v>
      </c>
      <c r="BW30" s="68">
        <f t="shared" si="26"/>
        <v>1</v>
      </c>
      <c r="BX30" s="68">
        <f t="shared" si="26"/>
        <v>1</v>
      </c>
      <c r="BY30" s="68">
        <f t="shared" si="26"/>
        <v>1</v>
      </c>
      <c r="BZ30" s="68">
        <f t="shared" si="26"/>
        <v>1</v>
      </c>
      <c r="CA30" s="68">
        <f t="shared" si="26"/>
        <v>1</v>
      </c>
      <c r="CB30" s="68">
        <f t="shared" si="26"/>
        <v>1</v>
      </c>
      <c r="CC30" s="68">
        <f t="shared" si="26"/>
        <v>1</v>
      </c>
      <c r="CD30" s="68">
        <f t="shared" si="26"/>
        <v>1</v>
      </c>
      <c r="CE30" s="68">
        <f t="shared" si="26"/>
        <v>1</v>
      </c>
      <c r="CF30" s="68">
        <f t="shared" si="26"/>
        <v>1</v>
      </c>
      <c r="CG30" s="68">
        <f t="shared" si="26"/>
        <v>1</v>
      </c>
      <c r="CH30" s="68">
        <f t="shared" si="26"/>
        <v>1</v>
      </c>
      <c r="CI30" s="68">
        <f t="shared" si="26"/>
        <v>1</v>
      </c>
      <c r="CJ30" s="68">
        <f t="shared" si="26"/>
        <v>1</v>
      </c>
      <c r="CK30" s="68">
        <f t="shared" si="26"/>
        <v>1</v>
      </c>
      <c r="CL30" s="68">
        <f t="shared" si="26"/>
        <v>1</v>
      </c>
      <c r="CM30" s="68">
        <f t="shared" si="26"/>
        <v>1</v>
      </c>
      <c r="CN30" s="68">
        <f t="shared" si="26"/>
        <v>1</v>
      </c>
      <c r="CO30" s="68">
        <f t="shared" si="26"/>
        <v>1</v>
      </c>
      <c r="CP30" s="68">
        <f t="shared" si="26"/>
        <v>1</v>
      </c>
      <c r="CQ30" s="68">
        <f t="shared" si="26"/>
        <v>1</v>
      </c>
      <c r="CR30" s="68">
        <f t="shared" si="26"/>
        <v>1</v>
      </c>
      <c r="CS30" s="68">
        <f t="shared" si="26"/>
        <v>1</v>
      </c>
      <c r="CT30" s="68">
        <f t="shared" si="26"/>
        <v>1</v>
      </c>
      <c r="CU30" s="68">
        <f t="shared" si="26"/>
        <v>1</v>
      </c>
      <c r="CV30" s="3"/>
    </row>
    <row r="31" spans="1:100" ht="15.75" customHeight="1" outlineLevel="1">
      <c r="A31" s="84"/>
      <c r="B31" s="21"/>
      <c r="C31" s="21" t="s">
        <v>30</v>
      </c>
      <c r="D31" s="68">
        <f t="shared" si="26"/>
        <v>0</v>
      </c>
      <c r="E31" s="68">
        <f t="shared" si="26"/>
        <v>0</v>
      </c>
      <c r="F31" s="68">
        <f t="shared" si="26"/>
        <v>0</v>
      </c>
      <c r="G31" s="68">
        <f t="shared" si="26"/>
        <v>0</v>
      </c>
      <c r="H31" s="68">
        <f t="shared" si="26"/>
        <v>0</v>
      </c>
      <c r="I31" s="68">
        <f t="shared" si="26"/>
        <v>0</v>
      </c>
      <c r="J31" s="68">
        <f t="shared" si="26"/>
        <v>0</v>
      </c>
      <c r="K31" s="68">
        <f t="shared" si="26"/>
        <v>0</v>
      </c>
      <c r="L31" s="68">
        <f t="shared" si="26"/>
        <v>0</v>
      </c>
      <c r="M31" s="68">
        <f t="shared" si="26"/>
        <v>0</v>
      </c>
      <c r="N31" s="68">
        <f t="shared" si="26"/>
        <v>0</v>
      </c>
      <c r="O31" s="68">
        <f t="shared" si="26"/>
        <v>0</v>
      </c>
      <c r="P31" s="68">
        <f t="shared" si="26"/>
        <v>0</v>
      </c>
      <c r="Q31" s="68">
        <f t="shared" si="26"/>
        <v>0</v>
      </c>
      <c r="R31" s="68">
        <f t="shared" si="26"/>
        <v>0</v>
      </c>
      <c r="S31" s="68">
        <f t="shared" si="26"/>
        <v>0</v>
      </c>
      <c r="T31" s="68">
        <f t="shared" si="26"/>
        <v>0</v>
      </c>
      <c r="U31" s="68">
        <f t="shared" si="26"/>
        <v>0</v>
      </c>
      <c r="V31" s="68">
        <f t="shared" si="26"/>
        <v>0</v>
      </c>
      <c r="W31" s="68">
        <f t="shared" si="26"/>
        <v>0</v>
      </c>
      <c r="X31" s="68">
        <f t="shared" si="26"/>
        <v>0</v>
      </c>
      <c r="Y31" s="68">
        <f t="shared" si="26"/>
        <v>0</v>
      </c>
      <c r="Z31" s="68">
        <f t="shared" si="26"/>
        <v>0</v>
      </c>
      <c r="AA31" s="68">
        <f t="shared" si="26"/>
        <v>0</v>
      </c>
      <c r="AB31" s="68">
        <f t="shared" si="26"/>
        <v>1</v>
      </c>
      <c r="AC31" s="68">
        <f t="shared" si="26"/>
        <v>1</v>
      </c>
      <c r="AD31" s="68">
        <f t="shared" si="26"/>
        <v>1</v>
      </c>
      <c r="AE31" s="68">
        <f t="shared" si="26"/>
        <v>1</v>
      </c>
      <c r="AF31" s="68">
        <f t="shared" si="26"/>
        <v>1</v>
      </c>
      <c r="AG31" s="68">
        <f t="shared" si="26"/>
        <v>1</v>
      </c>
      <c r="AH31" s="68">
        <f t="shared" si="26"/>
        <v>1</v>
      </c>
      <c r="AI31" s="68">
        <f t="shared" si="26"/>
        <v>1</v>
      </c>
      <c r="AJ31" s="68">
        <f t="shared" si="26"/>
        <v>1</v>
      </c>
      <c r="AK31" s="68">
        <f t="shared" si="26"/>
        <v>1</v>
      </c>
      <c r="AL31" s="68">
        <f t="shared" si="26"/>
        <v>1</v>
      </c>
      <c r="AM31" s="68">
        <f t="shared" si="26"/>
        <v>1</v>
      </c>
      <c r="AN31" s="68">
        <f t="shared" si="26"/>
        <v>1</v>
      </c>
      <c r="AO31" s="68">
        <f t="shared" si="26"/>
        <v>1</v>
      </c>
      <c r="AP31" s="68">
        <f t="shared" si="26"/>
        <v>1</v>
      </c>
      <c r="AQ31" s="68">
        <f t="shared" si="26"/>
        <v>1</v>
      </c>
      <c r="AR31" s="68">
        <f t="shared" si="26"/>
        <v>1</v>
      </c>
      <c r="AS31" s="68">
        <f t="shared" si="26"/>
        <v>1</v>
      </c>
      <c r="AT31" s="68">
        <f t="shared" si="26"/>
        <v>1</v>
      </c>
      <c r="AU31" s="68">
        <f t="shared" si="26"/>
        <v>1</v>
      </c>
      <c r="AV31" s="68">
        <f t="shared" si="26"/>
        <v>1</v>
      </c>
      <c r="AW31" s="68">
        <f t="shared" si="26"/>
        <v>1</v>
      </c>
      <c r="AX31" s="68">
        <f t="shared" si="26"/>
        <v>1</v>
      </c>
      <c r="AY31" s="68">
        <f t="shared" si="26"/>
        <v>1</v>
      </c>
      <c r="AZ31" s="68">
        <f t="shared" si="26"/>
        <v>1</v>
      </c>
      <c r="BA31" s="68">
        <f t="shared" si="26"/>
        <v>1</v>
      </c>
      <c r="BB31" s="68">
        <f t="shared" si="26"/>
        <v>1</v>
      </c>
      <c r="BC31" s="68">
        <f t="shared" si="26"/>
        <v>2</v>
      </c>
      <c r="BD31" s="68">
        <f t="shared" si="26"/>
        <v>2</v>
      </c>
      <c r="BE31" s="68">
        <f t="shared" si="26"/>
        <v>2</v>
      </c>
      <c r="BF31" s="68">
        <f t="shared" si="26"/>
        <v>2</v>
      </c>
      <c r="BG31" s="68">
        <f t="shared" si="26"/>
        <v>2</v>
      </c>
      <c r="BH31" s="68">
        <f t="shared" si="26"/>
        <v>2</v>
      </c>
      <c r="BI31" s="68">
        <f t="shared" si="26"/>
        <v>2</v>
      </c>
      <c r="BJ31" s="68">
        <f t="shared" si="26"/>
        <v>2</v>
      </c>
      <c r="BK31" s="68">
        <f t="shared" si="26"/>
        <v>2</v>
      </c>
      <c r="BL31" s="68">
        <f t="shared" si="26"/>
        <v>2</v>
      </c>
      <c r="BM31" s="68">
        <f t="shared" si="26"/>
        <v>2</v>
      </c>
      <c r="BN31" s="68">
        <f t="shared" si="26"/>
        <v>2</v>
      </c>
      <c r="BO31" s="68">
        <f t="shared" ref="BO31:CU31" si="27">BO90</f>
        <v>2</v>
      </c>
      <c r="BP31" s="68">
        <f t="shared" si="27"/>
        <v>2</v>
      </c>
      <c r="BQ31" s="68">
        <f t="shared" si="27"/>
        <v>2</v>
      </c>
      <c r="BR31" s="68">
        <f t="shared" si="27"/>
        <v>2</v>
      </c>
      <c r="BS31" s="68">
        <f t="shared" si="27"/>
        <v>2</v>
      </c>
      <c r="BT31" s="68">
        <f t="shared" si="27"/>
        <v>2</v>
      </c>
      <c r="BU31" s="68">
        <f t="shared" si="27"/>
        <v>2</v>
      </c>
      <c r="BV31" s="68">
        <f t="shared" si="27"/>
        <v>2</v>
      </c>
      <c r="BW31" s="68">
        <f t="shared" si="27"/>
        <v>2</v>
      </c>
      <c r="BX31" s="68">
        <f t="shared" si="27"/>
        <v>2</v>
      </c>
      <c r="BY31" s="68">
        <f t="shared" si="27"/>
        <v>2</v>
      </c>
      <c r="BZ31" s="68">
        <f t="shared" si="27"/>
        <v>2</v>
      </c>
      <c r="CA31" s="68">
        <f t="shared" si="27"/>
        <v>2</v>
      </c>
      <c r="CB31" s="68">
        <f t="shared" si="27"/>
        <v>2</v>
      </c>
      <c r="CC31" s="68">
        <f t="shared" si="27"/>
        <v>2</v>
      </c>
      <c r="CD31" s="68">
        <f t="shared" si="27"/>
        <v>2</v>
      </c>
      <c r="CE31" s="68">
        <f t="shared" si="27"/>
        <v>2</v>
      </c>
      <c r="CF31" s="68">
        <f t="shared" si="27"/>
        <v>2</v>
      </c>
      <c r="CG31" s="68">
        <f t="shared" si="27"/>
        <v>2</v>
      </c>
      <c r="CH31" s="68">
        <f t="shared" si="27"/>
        <v>2</v>
      </c>
      <c r="CI31" s="68">
        <f t="shared" si="27"/>
        <v>2</v>
      </c>
      <c r="CJ31" s="68">
        <f t="shared" si="27"/>
        <v>2</v>
      </c>
      <c r="CK31" s="68">
        <f t="shared" si="27"/>
        <v>2</v>
      </c>
      <c r="CL31" s="68">
        <f t="shared" si="27"/>
        <v>2</v>
      </c>
      <c r="CM31" s="68">
        <f t="shared" si="27"/>
        <v>2</v>
      </c>
      <c r="CN31" s="68">
        <f t="shared" si="27"/>
        <v>2</v>
      </c>
      <c r="CO31" s="68">
        <f t="shared" si="27"/>
        <v>2</v>
      </c>
      <c r="CP31" s="68">
        <f t="shared" si="27"/>
        <v>2</v>
      </c>
      <c r="CQ31" s="68">
        <f t="shared" si="27"/>
        <v>2</v>
      </c>
      <c r="CR31" s="68">
        <f t="shared" si="27"/>
        <v>2</v>
      </c>
      <c r="CS31" s="68">
        <f t="shared" si="27"/>
        <v>2</v>
      </c>
      <c r="CT31" s="68">
        <f t="shared" si="27"/>
        <v>2</v>
      </c>
      <c r="CU31" s="68">
        <f t="shared" si="27"/>
        <v>2</v>
      </c>
      <c r="CV31" s="3"/>
    </row>
    <row r="32" spans="1:100" ht="15.75" customHeight="1" outlineLevel="1">
      <c r="A32" s="84"/>
      <c r="B32" s="21"/>
      <c r="C32" s="21" t="s">
        <v>31</v>
      </c>
      <c r="D32" s="68">
        <f t="shared" ref="D32:CU34" si="28">D91</f>
        <v>0</v>
      </c>
      <c r="E32" s="68">
        <f t="shared" si="28"/>
        <v>0</v>
      </c>
      <c r="F32" s="68">
        <f t="shared" si="28"/>
        <v>0</v>
      </c>
      <c r="G32" s="68">
        <f t="shared" si="28"/>
        <v>0</v>
      </c>
      <c r="H32" s="68">
        <f t="shared" si="28"/>
        <v>0</v>
      </c>
      <c r="I32" s="68">
        <f t="shared" si="28"/>
        <v>0</v>
      </c>
      <c r="J32" s="68">
        <f t="shared" si="28"/>
        <v>0</v>
      </c>
      <c r="K32" s="68">
        <f t="shared" si="28"/>
        <v>0</v>
      </c>
      <c r="L32" s="68">
        <f t="shared" si="28"/>
        <v>0</v>
      </c>
      <c r="M32" s="68">
        <f t="shared" si="28"/>
        <v>0</v>
      </c>
      <c r="N32" s="68">
        <f t="shared" si="28"/>
        <v>0</v>
      </c>
      <c r="O32" s="68">
        <f t="shared" si="28"/>
        <v>0</v>
      </c>
      <c r="P32" s="68">
        <f t="shared" si="28"/>
        <v>0</v>
      </c>
      <c r="Q32" s="68">
        <f t="shared" si="28"/>
        <v>0</v>
      </c>
      <c r="R32" s="68">
        <f t="shared" si="28"/>
        <v>0</v>
      </c>
      <c r="S32" s="68">
        <f t="shared" si="28"/>
        <v>0</v>
      </c>
      <c r="T32" s="68">
        <f t="shared" si="28"/>
        <v>0</v>
      </c>
      <c r="U32" s="68">
        <f t="shared" si="28"/>
        <v>0</v>
      </c>
      <c r="V32" s="68">
        <f t="shared" si="28"/>
        <v>0</v>
      </c>
      <c r="W32" s="68">
        <f t="shared" si="28"/>
        <v>0</v>
      </c>
      <c r="X32" s="68">
        <f t="shared" si="28"/>
        <v>0</v>
      </c>
      <c r="Y32" s="68">
        <f t="shared" si="28"/>
        <v>0</v>
      </c>
      <c r="Z32" s="68">
        <f t="shared" si="28"/>
        <v>0</v>
      </c>
      <c r="AA32" s="68">
        <f t="shared" si="28"/>
        <v>0</v>
      </c>
      <c r="AB32" s="68">
        <f t="shared" si="28"/>
        <v>1</v>
      </c>
      <c r="AC32" s="68">
        <f t="shared" si="28"/>
        <v>1</v>
      </c>
      <c r="AD32" s="68">
        <f t="shared" si="28"/>
        <v>1</v>
      </c>
      <c r="AE32" s="68">
        <f t="shared" si="28"/>
        <v>1</v>
      </c>
      <c r="AF32" s="68">
        <f t="shared" si="28"/>
        <v>1</v>
      </c>
      <c r="AG32" s="68">
        <f t="shared" si="28"/>
        <v>1</v>
      </c>
      <c r="AH32" s="68">
        <f t="shared" si="28"/>
        <v>1</v>
      </c>
      <c r="AI32" s="68">
        <f t="shared" si="28"/>
        <v>1</v>
      </c>
      <c r="AJ32" s="68">
        <f t="shared" si="28"/>
        <v>1</v>
      </c>
      <c r="AK32" s="68">
        <f t="shared" si="28"/>
        <v>1</v>
      </c>
      <c r="AL32" s="68">
        <f t="shared" si="28"/>
        <v>1</v>
      </c>
      <c r="AM32" s="68">
        <f t="shared" si="28"/>
        <v>1</v>
      </c>
      <c r="AN32" s="68">
        <f t="shared" si="28"/>
        <v>1</v>
      </c>
      <c r="AO32" s="68">
        <f t="shared" si="28"/>
        <v>1</v>
      </c>
      <c r="AP32" s="68">
        <f t="shared" si="28"/>
        <v>1</v>
      </c>
      <c r="AQ32" s="68">
        <f t="shared" si="28"/>
        <v>1</v>
      </c>
      <c r="AR32" s="68">
        <f t="shared" si="28"/>
        <v>1</v>
      </c>
      <c r="AS32" s="68">
        <f t="shared" si="28"/>
        <v>1</v>
      </c>
      <c r="AT32" s="68">
        <f t="shared" si="28"/>
        <v>1</v>
      </c>
      <c r="AU32" s="68">
        <f t="shared" si="28"/>
        <v>1</v>
      </c>
      <c r="AV32" s="68">
        <f t="shared" si="28"/>
        <v>1</v>
      </c>
      <c r="AW32" s="68">
        <f t="shared" si="28"/>
        <v>1</v>
      </c>
      <c r="AX32" s="68">
        <f t="shared" si="28"/>
        <v>1</v>
      </c>
      <c r="AY32" s="68">
        <f t="shared" si="28"/>
        <v>1</v>
      </c>
      <c r="AZ32" s="68">
        <f t="shared" si="28"/>
        <v>1</v>
      </c>
      <c r="BA32" s="68">
        <f t="shared" si="28"/>
        <v>1</v>
      </c>
      <c r="BB32" s="68">
        <f t="shared" si="28"/>
        <v>1</v>
      </c>
      <c r="BC32" s="68">
        <f t="shared" si="28"/>
        <v>1</v>
      </c>
      <c r="BD32" s="68">
        <f t="shared" si="28"/>
        <v>1</v>
      </c>
      <c r="BE32" s="68">
        <f t="shared" si="28"/>
        <v>1</v>
      </c>
      <c r="BF32" s="68">
        <f t="shared" si="28"/>
        <v>1</v>
      </c>
      <c r="BG32" s="68">
        <f t="shared" si="28"/>
        <v>1</v>
      </c>
      <c r="BH32" s="68">
        <f t="shared" si="28"/>
        <v>1</v>
      </c>
      <c r="BI32" s="68">
        <f t="shared" si="28"/>
        <v>1</v>
      </c>
      <c r="BJ32" s="68">
        <f t="shared" si="28"/>
        <v>1</v>
      </c>
      <c r="BK32" s="68">
        <f t="shared" si="28"/>
        <v>1</v>
      </c>
      <c r="BL32" s="68">
        <f t="shared" si="28"/>
        <v>1</v>
      </c>
      <c r="BM32" s="68">
        <f t="shared" si="28"/>
        <v>1</v>
      </c>
      <c r="BN32" s="68">
        <f t="shared" si="28"/>
        <v>1</v>
      </c>
      <c r="BO32" s="68">
        <f t="shared" si="28"/>
        <v>1</v>
      </c>
      <c r="BP32" s="68">
        <f t="shared" si="28"/>
        <v>1</v>
      </c>
      <c r="BQ32" s="68">
        <f t="shared" si="28"/>
        <v>1</v>
      </c>
      <c r="BR32" s="68">
        <f t="shared" si="28"/>
        <v>1</v>
      </c>
      <c r="BS32" s="68">
        <f t="shared" si="28"/>
        <v>1</v>
      </c>
      <c r="BT32" s="68">
        <f t="shared" si="28"/>
        <v>1</v>
      </c>
      <c r="BU32" s="68">
        <f t="shared" si="28"/>
        <v>1</v>
      </c>
      <c r="BV32" s="68">
        <f t="shared" si="28"/>
        <v>1</v>
      </c>
      <c r="BW32" s="68">
        <f t="shared" si="28"/>
        <v>1</v>
      </c>
      <c r="BX32" s="68">
        <f t="shared" si="28"/>
        <v>1</v>
      </c>
      <c r="BY32" s="68">
        <f t="shared" si="28"/>
        <v>1</v>
      </c>
      <c r="BZ32" s="68">
        <f t="shared" si="28"/>
        <v>1</v>
      </c>
      <c r="CA32" s="68">
        <f t="shared" si="28"/>
        <v>1</v>
      </c>
      <c r="CB32" s="68">
        <f t="shared" si="28"/>
        <v>1</v>
      </c>
      <c r="CC32" s="68">
        <f t="shared" si="28"/>
        <v>1</v>
      </c>
      <c r="CD32" s="68">
        <f t="shared" si="28"/>
        <v>1</v>
      </c>
      <c r="CE32" s="68">
        <f t="shared" si="28"/>
        <v>1</v>
      </c>
      <c r="CF32" s="68">
        <f t="shared" si="28"/>
        <v>1</v>
      </c>
      <c r="CG32" s="68">
        <f t="shared" si="28"/>
        <v>1</v>
      </c>
      <c r="CH32" s="68">
        <f t="shared" si="28"/>
        <v>1</v>
      </c>
      <c r="CI32" s="68">
        <f t="shared" si="28"/>
        <v>1</v>
      </c>
      <c r="CJ32" s="68">
        <f t="shared" si="28"/>
        <v>1</v>
      </c>
      <c r="CK32" s="68">
        <f t="shared" si="28"/>
        <v>1</v>
      </c>
      <c r="CL32" s="68">
        <f t="shared" si="28"/>
        <v>1</v>
      </c>
      <c r="CM32" s="68">
        <f t="shared" si="28"/>
        <v>1</v>
      </c>
      <c r="CN32" s="68">
        <f t="shared" si="28"/>
        <v>1</v>
      </c>
      <c r="CO32" s="68">
        <f t="shared" si="28"/>
        <v>1</v>
      </c>
      <c r="CP32" s="68">
        <f t="shared" si="28"/>
        <v>1</v>
      </c>
      <c r="CQ32" s="68">
        <f t="shared" si="28"/>
        <v>1</v>
      </c>
      <c r="CR32" s="68">
        <f t="shared" si="28"/>
        <v>1</v>
      </c>
      <c r="CS32" s="68">
        <f t="shared" si="28"/>
        <v>1</v>
      </c>
      <c r="CT32" s="68">
        <f t="shared" si="28"/>
        <v>1</v>
      </c>
      <c r="CU32" s="68">
        <f t="shared" si="28"/>
        <v>1</v>
      </c>
      <c r="CV32" s="3"/>
    </row>
    <row r="33" spans="1:100" ht="15.75" customHeight="1" outlineLevel="1">
      <c r="A33" s="84"/>
      <c r="B33" s="21"/>
      <c r="C33" s="21" t="s">
        <v>32</v>
      </c>
      <c r="D33" s="68">
        <f t="shared" si="28"/>
        <v>0</v>
      </c>
      <c r="E33" s="68">
        <f t="shared" si="28"/>
        <v>0</v>
      </c>
      <c r="F33" s="68">
        <f t="shared" si="28"/>
        <v>0</v>
      </c>
      <c r="G33" s="68">
        <f t="shared" si="28"/>
        <v>0</v>
      </c>
      <c r="H33" s="68">
        <f t="shared" si="28"/>
        <v>0</v>
      </c>
      <c r="I33" s="68">
        <f t="shared" si="28"/>
        <v>0</v>
      </c>
      <c r="J33" s="68">
        <f t="shared" si="28"/>
        <v>0</v>
      </c>
      <c r="K33" s="68">
        <f t="shared" si="28"/>
        <v>0</v>
      </c>
      <c r="L33" s="68">
        <f t="shared" si="28"/>
        <v>0</v>
      </c>
      <c r="M33" s="68">
        <f t="shared" si="28"/>
        <v>0</v>
      </c>
      <c r="N33" s="68">
        <f t="shared" si="28"/>
        <v>0</v>
      </c>
      <c r="O33" s="68">
        <f t="shared" si="28"/>
        <v>0</v>
      </c>
      <c r="P33" s="68">
        <f t="shared" si="28"/>
        <v>0</v>
      </c>
      <c r="Q33" s="68">
        <f t="shared" si="28"/>
        <v>0</v>
      </c>
      <c r="R33" s="68">
        <f t="shared" si="28"/>
        <v>0</v>
      </c>
      <c r="S33" s="68">
        <f t="shared" si="28"/>
        <v>0</v>
      </c>
      <c r="T33" s="68">
        <f t="shared" si="28"/>
        <v>0</v>
      </c>
      <c r="U33" s="68">
        <f t="shared" si="28"/>
        <v>0</v>
      </c>
      <c r="V33" s="68">
        <f t="shared" si="28"/>
        <v>0</v>
      </c>
      <c r="W33" s="68">
        <f t="shared" si="28"/>
        <v>0</v>
      </c>
      <c r="X33" s="68">
        <f t="shared" si="28"/>
        <v>0</v>
      </c>
      <c r="Y33" s="68">
        <f t="shared" si="28"/>
        <v>0</v>
      </c>
      <c r="Z33" s="68">
        <f t="shared" si="28"/>
        <v>0</v>
      </c>
      <c r="AA33" s="68">
        <f t="shared" si="28"/>
        <v>0</v>
      </c>
      <c r="AB33" s="68">
        <f t="shared" si="28"/>
        <v>0</v>
      </c>
      <c r="AC33" s="68">
        <f t="shared" si="28"/>
        <v>0</v>
      </c>
      <c r="AD33" s="68">
        <f t="shared" si="28"/>
        <v>0</v>
      </c>
      <c r="AE33" s="68">
        <f t="shared" si="28"/>
        <v>0</v>
      </c>
      <c r="AF33" s="68">
        <f t="shared" si="28"/>
        <v>0</v>
      </c>
      <c r="AG33" s="68">
        <f t="shared" si="28"/>
        <v>0</v>
      </c>
      <c r="AH33" s="68">
        <f t="shared" si="28"/>
        <v>0</v>
      </c>
      <c r="AI33" s="68">
        <f t="shared" si="28"/>
        <v>0</v>
      </c>
      <c r="AJ33" s="68">
        <f t="shared" si="28"/>
        <v>0</v>
      </c>
      <c r="AK33" s="68">
        <f t="shared" si="28"/>
        <v>0</v>
      </c>
      <c r="AL33" s="68">
        <f t="shared" si="28"/>
        <v>1</v>
      </c>
      <c r="AM33" s="68">
        <f t="shared" si="28"/>
        <v>1</v>
      </c>
      <c r="AN33" s="68">
        <f t="shared" si="28"/>
        <v>1</v>
      </c>
      <c r="AO33" s="68">
        <f t="shared" si="28"/>
        <v>1</v>
      </c>
      <c r="AP33" s="68">
        <f t="shared" si="28"/>
        <v>1</v>
      </c>
      <c r="AQ33" s="68">
        <f t="shared" si="28"/>
        <v>1</v>
      </c>
      <c r="AR33" s="68">
        <f t="shared" si="28"/>
        <v>1</v>
      </c>
      <c r="AS33" s="68">
        <f t="shared" si="28"/>
        <v>1</v>
      </c>
      <c r="AT33" s="68">
        <f t="shared" si="28"/>
        <v>1</v>
      </c>
      <c r="AU33" s="68">
        <f t="shared" si="28"/>
        <v>1</v>
      </c>
      <c r="AV33" s="68">
        <f t="shared" si="28"/>
        <v>1</v>
      </c>
      <c r="AW33" s="68">
        <f t="shared" si="28"/>
        <v>1</v>
      </c>
      <c r="AX33" s="68">
        <f t="shared" si="28"/>
        <v>1</v>
      </c>
      <c r="AY33" s="68">
        <f t="shared" si="28"/>
        <v>1</v>
      </c>
      <c r="AZ33" s="68">
        <f t="shared" si="28"/>
        <v>1</v>
      </c>
      <c r="BA33" s="68">
        <f t="shared" si="28"/>
        <v>1</v>
      </c>
      <c r="BB33" s="68">
        <f t="shared" si="28"/>
        <v>1</v>
      </c>
      <c r="BC33" s="68">
        <f t="shared" si="28"/>
        <v>1</v>
      </c>
      <c r="BD33" s="68">
        <f t="shared" si="28"/>
        <v>1</v>
      </c>
      <c r="BE33" s="68">
        <f t="shared" si="28"/>
        <v>1</v>
      </c>
      <c r="BF33" s="68">
        <f t="shared" si="28"/>
        <v>1</v>
      </c>
      <c r="BG33" s="68">
        <f t="shared" si="28"/>
        <v>1</v>
      </c>
      <c r="BH33" s="68">
        <f t="shared" si="28"/>
        <v>1</v>
      </c>
      <c r="BI33" s="68">
        <f t="shared" si="28"/>
        <v>1</v>
      </c>
      <c r="BJ33" s="68">
        <f t="shared" si="28"/>
        <v>1</v>
      </c>
      <c r="BK33" s="68">
        <f t="shared" si="28"/>
        <v>1</v>
      </c>
      <c r="BL33" s="68">
        <f t="shared" si="28"/>
        <v>1</v>
      </c>
      <c r="BM33" s="68">
        <f t="shared" si="28"/>
        <v>1</v>
      </c>
      <c r="BN33" s="68">
        <f t="shared" si="28"/>
        <v>1</v>
      </c>
      <c r="BO33" s="68">
        <f t="shared" si="28"/>
        <v>1</v>
      </c>
      <c r="BP33" s="68">
        <f t="shared" si="28"/>
        <v>1</v>
      </c>
      <c r="BQ33" s="68">
        <f t="shared" si="28"/>
        <v>1</v>
      </c>
      <c r="BR33" s="68">
        <f t="shared" si="28"/>
        <v>1</v>
      </c>
      <c r="BS33" s="68">
        <f t="shared" si="28"/>
        <v>1</v>
      </c>
      <c r="BT33" s="68">
        <f t="shared" si="28"/>
        <v>1</v>
      </c>
      <c r="BU33" s="68">
        <f t="shared" si="28"/>
        <v>1</v>
      </c>
      <c r="BV33" s="68">
        <f t="shared" si="28"/>
        <v>1</v>
      </c>
      <c r="BW33" s="68">
        <f t="shared" si="28"/>
        <v>1</v>
      </c>
      <c r="BX33" s="68">
        <f t="shared" si="28"/>
        <v>1</v>
      </c>
      <c r="BY33" s="68">
        <f t="shared" si="28"/>
        <v>1</v>
      </c>
      <c r="BZ33" s="68">
        <f t="shared" si="28"/>
        <v>1</v>
      </c>
      <c r="CA33" s="68">
        <f t="shared" si="28"/>
        <v>1</v>
      </c>
      <c r="CB33" s="68">
        <f t="shared" si="28"/>
        <v>1</v>
      </c>
      <c r="CC33" s="68">
        <f t="shared" si="28"/>
        <v>1</v>
      </c>
      <c r="CD33" s="68">
        <f t="shared" si="28"/>
        <v>1</v>
      </c>
      <c r="CE33" s="68">
        <f t="shared" si="28"/>
        <v>1</v>
      </c>
      <c r="CF33" s="68">
        <f t="shared" si="28"/>
        <v>1</v>
      </c>
      <c r="CG33" s="68">
        <f t="shared" si="28"/>
        <v>1</v>
      </c>
      <c r="CH33" s="68">
        <f t="shared" si="28"/>
        <v>1</v>
      </c>
      <c r="CI33" s="68">
        <f t="shared" si="28"/>
        <v>1</v>
      </c>
      <c r="CJ33" s="68">
        <f t="shared" si="28"/>
        <v>1</v>
      </c>
      <c r="CK33" s="68">
        <f t="shared" si="28"/>
        <v>1</v>
      </c>
      <c r="CL33" s="68">
        <f t="shared" si="28"/>
        <v>1</v>
      </c>
      <c r="CM33" s="68">
        <f t="shared" si="28"/>
        <v>1</v>
      </c>
      <c r="CN33" s="68">
        <f t="shared" si="28"/>
        <v>1</v>
      </c>
      <c r="CO33" s="68">
        <f t="shared" si="28"/>
        <v>1</v>
      </c>
      <c r="CP33" s="68">
        <f t="shared" si="28"/>
        <v>1</v>
      </c>
      <c r="CQ33" s="68">
        <f t="shared" si="28"/>
        <v>1</v>
      </c>
      <c r="CR33" s="68">
        <f t="shared" si="28"/>
        <v>1</v>
      </c>
      <c r="CS33" s="68">
        <f t="shared" si="28"/>
        <v>1</v>
      </c>
      <c r="CT33" s="68">
        <f t="shared" si="28"/>
        <v>1</v>
      </c>
      <c r="CU33" s="68">
        <f t="shared" si="28"/>
        <v>1</v>
      </c>
      <c r="CV33" s="3"/>
    </row>
    <row r="34" spans="1:100" ht="15.75" customHeight="1" outlineLevel="1">
      <c r="A34" s="84"/>
      <c r="B34" s="21"/>
      <c r="C34" s="21" t="s">
        <v>33</v>
      </c>
      <c r="D34" s="68">
        <f t="shared" si="28"/>
        <v>0</v>
      </c>
      <c r="E34" s="68">
        <f t="shared" si="28"/>
        <v>0</v>
      </c>
      <c r="F34" s="68">
        <f t="shared" si="28"/>
        <v>0</v>
      </c>
      <c r="G34" s="68">
        <f t="shared" si="28"/>
        <v>0</v>
      </c>
      <c r="H34" s="68">
        <f t="shared" si="28"/>
        <v>0</v>
      </c>
      <c r="I34" s="68">
        <f t="shared" si="28"/>
        <v>0</v>
      </c>
      <c r="J34" s="68">
        <f t="shared" si="28"/>
        <v>0</v>
      </c>
      <c r="K34" s="68">
        <f t="shared" si="28"/>
        <v>0</v>
      </c>
      <c r="L34" s="68">
        <f t="shared" si="28"/>
        <v>0</v>
      </c>
      <c r="M34" s="68">
        <f t="shared" si="28"/>
        <v>0</v>
      </c>
      <c r="N34" s="68">
        <f t="shared" si="28"/>
        <v>0</v>
      </c>
      <c r="O34" s="68">
        <f t="shared" si="28"/>
        <v>0</v>
      </c>
      <c r="P34" s="68">
        <f t="shared" si="28"/>
        <v>0</v>
      </c>
      <c r="Q34" s="68">
        <f t="shared" si="28"/>
        <v>0</v>
      </c>
      <c r="R34" s="68">
        <f t="shared" si="28"/>
        <v>0</v>
      </c>
      <c r="S34" s="68">
        <f t="shared" si="28"/>
        <v>0</v>
      </c>
      <c r="T34" s="68">
        <f t="shared" si="28"/>
        <v>0</v>
      </c>
      <c r="U34" s="68">
        <f t="shared" si="28"/>
        <v>0</v>
      </c>
      <c r="V34" s="68">
        <f t="shared" si="28"/>
        <v>0</v>
      </c>
      <c r="W34" s="68">
        <f t="shared" si="28"/>
        <v>0</v>
      </c>
      <c r="X34" s="68">
        <f t="shared" si="28"/>
        <v>0</v>
      </c>
      <c r="Y34" s="68">
        <f t="shared" si="28"/>
        <v>0</v>
      </c>
      <c r="Z34" s="68">
        <f t="shared" si="28"/>
        <v>0</v>
      </c>
      <c r="AA34" s="68">
        <f t="shared" si="28"/>
        <v>0</v>
      </c>
      <c r="AB34" s="68">
        <f t="shared" si="28"/>
        <v>0</v>
      </c>
      <c r="AC34" s="68">
        <f t="shared" si="28"/>
        <v>0</v>
      </c>
      <c r="AD34" s="68">
        <f t="shared" si="28"/>
        <v>0</v>
      </c>
      <c r="AE34" s="68">
        <f t="shared" si="28"/>
        <v>0</v>
      </c>
      <c r="AF34" s="68">
        <f t="shared" si="28"/>
        <v>0</v>
      </c>
      <c r="AG34" s="68">
        <f t="shared" si="28"/>
        <v>0</v>
      </c>
      <c r="AH34" s="68">
        <f t="shared" si="28"/>
        <v>0</v>
      </c>
      <c r="AI34" s="68">
        <f t="shared" si="28"/>
        <v>0</v>
      </c>
      <c r="AJ34" s="68">
        <f t="shared" si="28"/>
        <v>0</v>
      </c>
      <c r="AK34" s="68">
        <f t="shared" si="28"/>
        <v>0</v>
      </c>
      <c r="AL34" s="68">
        <f t="shared" si="28"/>
        <v>1</v>
      </c>
      <c r="AM34" s="68">
        <f t="shared" si="28"/>
        <v>1</v>
      </c>
      <c r="AN34" s="68">
        <f t="shared" si="28"/>
        <v>1</v>
      </c>
      <c r="AO34" s="68">
        <f t="shared" si="28"/>
        <v>1</v>
      </c>
      <c r="AP34" s="68">
        <f t="shared" si="28"/>
        <v>1</v>
      </c>
      <c r="AQ34" s="68">
        <f t="shared" si="28"/>
        <v>1</v>
      </c>
      <c r="AR34" s="68">
        <f t="shared" si="28"/>
        <v>1</v>
      </c>
      <c r="AS34" s="68">
        <f t="shared" si="28"/>
        <v>1</v>
      </c>
      <c r="AT34" s="68">
        <f t="shared" si="28"/>
        <v>1</v>
      </c>
      <c r="AU34" s="68">
        <f t="shared" si="28"/>
        <v>1</v>
      </c>
      <c r="AV34" s="68">
        <f t="shared" si="28"/>
        <v>1</v>
      </c>
      <c r="AW34" s="68">
        <f t="shared" si="28"/>
        <v>1</v>
      </c>
      <c r="AX34" s="68">
        <f t="shared" si="28"/>
        <v>1</v>
      </c>
      <c r="AY34" s="68">
        <f t="shared" si="28"/>
        <v>1</v>
      </c>
      <c r="AZ34" s="68">
        <f t="shared" si="28"/>
        <v>1</v>
      </c>
      <c r="BA34" s="68">
        <f t="shared" si="28"/>
        <v>1</v>
      </c>
      <c r="BB34" s="68">
        <f t="shared" si="28"/>
        <v>1</v>
      </c>
      <c r="BC34" s="68">
        <f t="shared" si="28"/>
        <v>3</v>
      </c>
      <c r="BD34" s="68">
        <f t="shared" si="28"/>
        <v>3</v>
      </c>
      <c r="BE34" s="68">
        <f t="shared" si="28"/>
        <v>3</v>
      </c>
      <c r="BF34" s="68">
        <f t="shared" si="28"/>
        <v>3</v>
      </c>
      <c r="BG34" s="68">
        <f t="shared" si="28"/>
        <v>3</v>
      </c>
      <c r="BH34" s="68">
        <f t="shared" si="28"/>
        <v>3</v>
      </c>
      <c r="BI34" s="68">
        <f t="shared" si="28"/>
        <v>3</v>
      </c>
      <c r="BJ34" s="68">
        <f t="shared" si="28"/>
        <v>3</v>
      </c>
      <c r="BK34" s="68">
        <f t="shared" si="28"/>
        <v>3</v>
      </c>
      <c r="BL34" s="68">
        <f t="shared" si="28"/>
        <v>3</v>
      </c>
      <c r="BM34" s="68">
        <f t="shared" si="28"/>
        <v>5</v>
      </c>
      <c r="BN34" s="68">
        <f t="shared" si="28"/>
        <v>5</v>
      </c>
      <c r="BO34" s="68">
        <f t="shared" ref="BO34:CU34" si="29">BO93</f>
        <v>5</v>
      </c>
      <c r="BP34" s="68">
        <f t="shared" si="29"/>
        <v>5</v>
      </c>
      <c r="BQ34" s="68">
        <f t="shared" si="29"/>
        <v>5</v>
      </c>
      <c r="BR34" s="68">
        <f t="shared" si="29"/>
        <v>5</v>
      </c>
      <c r="BS34" s="68">
        <f t="shared" si="29"/>
        <v>8</v>
      </c>
      <c r="BT34" s="68">
        <f t="shared" si="29"/>
        <v>8</v>
      </c>
      <c r="BU34" s="68">
        <f t="shared" si="29"/>
        <v>8</v>
      </c>
      <c r="BV34" s="68">
        <f t="shared" si="29"/>
        <v>8</v>
      </c>
      <c r="BW34" s="68">
        <f t="shared" si="29"/>
        <v>8</v>
      </c>
      <c r="BX34" s="68">
        <f t="shared" si="29"/>
        <v>8</v>
      </c>
      <c r="BY34" s="68">
        <f t="shared" si="29"/>
        <v>8</v>
      </c>
      <c r="BZ34" s="68">
        <f t="shared" si="29"/>
        <v>8</v>
      </c>
      <c r="CA34" s="68">
        <f t="shared" si="29"/>
        <v>10</v>
      </c>
      <c r="CB34" s="68">
        <f t="shared" si="29"/>
        <v>10</v>
      </c>
      <c r="CC34" s="68">
        <f t="shared" si="29"/>
        <v>10</v>
      </c>
      <c r="CD34" s="68">
        <f t="shared" si="29"/>
        <v>10</v>
      </c>
      <c r="CE34" s="68">
        <f t="shared" si="29"/>
        <v>10</v>
      </c>
      <c r="CF34" s="68">
        <f t="shared" si="29"/>
        <v>10</v>
      </c>
      <c r="CG34" s="68">
        <f t="shared" si="29"/>
        <v>10</v>
      </c>
      <c r="CH34" s="68">
        <f t="shared" si="29"/>
        <v>10</v>
      </c>
      <c r="CI34" s="68">
        <f t="shared" si="29"/>
        <v>12</v>
      </c>
      <c r="CJ34" s="68">
        <f t="shared" si="29"/>
        <v>12</v>
      </c>
      <c r="CK34" s="68">
        <f t="shared" si="29"/>
        <v>12</v>
      </c>
      <c r="CL34" s="68">
        <f t="shared" si="29"/>
        <v>12</v>
      </c>
      <c r="CM34" s="68">
        <f t="shared" si="29"/>
        <v>12</v>
      </c>
      <c r="CN34" s="68">
        <f t="shared" si="29"/>
        <v>12</v>
      </c>
      <c r="CO34" s="68">
        <f t="shared" si="29"/>
        <v>12</v>
      </c>
      <c r="CP34" s="68">
        <f t="shared" si="29"/>
        <v>12</v>
      </c>
      <c r="CQ34" s="68">
        <f t="shared" si="29"/>
        <v>14</v>
      </c>
      <c r="CR34" s="68">
        <f t="shared" si="29"/>
        <v>14</v>
      </c>
      <c r="CS34" s="68">
        <f t="shared" si="29"/>
        <v>14</v>
      </c>
      <c r="CT34" s="68">
        <f t="shared" si="29"/>
        <v>14</v>
      </c>
      <c r="CU34" s="68">
        <f t="shared" si="29"/>
        <v>14</v>
      </c>
      <c r="CV34" s="3"/>
    </row>
    <row r="35" spans="1:100" ht="15.75" customHeight="1" outlineLevel="1">
      <c r="A35" s="84"/>
      <c r="B35" s="21"/>
      <c r="C35" s="21" t="s">
        <v>34</v>
      </c>
      <c r="D35" s="68">
        <f t="shared" ref="D35:CU37" si="30">D94</f>
        <v>0</v>
      </c>
      <c r="E35" s="68">
        <f t="shared" si="30"/>
        <v>0</v>
      </c>
      <c r="F35" s="68">
        <f t="shared" si="30"/>
        <v>0</v>
      </c>
      <c r="G35" s="68">
        <f t="shared" si="30"/>
        <v>0</v>
      </c>
      <c r="H35" s="68">
        <f t="shared" si="30"/>
        <v>0</v>
      </c>
      <c r="I35" s="68">
        <f t="shared" si="30"/>
        <v>0</v>
      </c>
      <c r="J35" s="68">
        <f t="shared" si="30"/>
        <v>0</v>
      </c>
      <c r="K35" s="68">
        <f t="shared" si="30"/>
        <v>0</v>
      </c>
      <c r="L35" s="68">
        <f t="shared" si="30"/>
        <v>0</v>
      </c>
      <c r="M35" s="68">
        <f t="shared" si="30"/>
        <v>0</v>
      </c>
      <c r="N35" s="68">
        <f t="shared" si="30"/>
        <v>0</v>
      </c>
      <c r="O35" s="68">
        <f t="shared" si="30"/>
        <v>0</v>
      </c>
      <c r="P35" s="68">
        <f t="shared" si="30"/>
        <v>0</v>
      </c>
      <c r="Q35" s="68">
        <f t="shared" si="30"/>
        <v>0</v>
      </c>
      <c r="R35" s="68">
        <f t="shared" si="30"/>
        <v>0</v>
      </c>
      <c r="S35" s="68">
        <f t="shared" si="30"/>
        <v>0</v>
      </c>
      <c r="T35" s="68">
        <f t="shared" si="30"/>
        <v>0</v>
      </c>
      <c r="U35" s="68">
        <f t="shared" si="30"/>
        <v>0</v>
      </c>
      <c r="V35" s="68">
        <f t="shared" si="30"/>
        <v>0</v>
      </c>
      <c r="W35" s="68">
        <f t="shared" si="30"/>
        <v>0</v>
      </c>
      <c r="X35" s="68">
        <f t="shared" si="30"/>
        <v>0</v>
      </c>
      <c r="Y35" s="68">
        <f t="shared" si="30"/>
        <v>0</v>
      </c>
      <c r="Z35" s="68">
        <f t="shared" si="30"/>
        <v>0</v>
      </c>
      <c r="AA35" s="68">
        <f t="shared" si="30"/>
        <v>0</v>
      </c>
      <c r="AB35" s="68">
        <f t="shared" si="30"/>
        <v>0</v>
      </c>
      <c r="AC35" s="68">
        <f t="shared" si="30"/>
        <v>0</v>
      </c>
      <c r="AD35" s="68">
        <f t="shared" si="30"/>
        <v>0</v>
      </c>
      <c r="AE35" s="68">
        <f t="shared" si="30"/>
        <v>0</v>
      </c>
      <c r="AF35" s="68">
        <f t="shared" si="30"/>
        <v>0</v>
      </c>
      <c r="AG35" s="68">
        <f t="shared" si="30"/>
        <v>0</v>
      </c>
      <c r="AH35" s="68">
        <f t="shared" si="30"/>
        <v>0</v>
      </c>
      <c r="AI35" s="68">
        <f t="shared" si="30"/>
        <v>0</v>
      </c>
      <c r="AJ35" s="68">
        <f t="shared" si="30"/>
        <v>0</v>
      </c>
      <c r="AK35" s="68">
        <f t="shared" si="30"/>
        <v>0</v>
      </c>
      <c r="AL35" s="68">
        <f t="shared" si="30"/>
        <v>0</v>
      </c>
      <c r="AM35" s="68">
        <f t="shared" si="30"/>
        <v>0</v>
      </c>
      <c r="AN35" s="68">
        <f t="shared" si="30"/>
        <v>1</v>
      </c>
      <c r="AO35" s="68">
        <f t="shared" si="30"/>
        <v>1</v>
      </c>
      <c r="AP35" s="68">
        <f t="shared" si="30"/>
        <v>1</v>
      </c>
      <c r="AQ35" s="68">
        <f t="shared" si="30"/>
        <v>1</v>
      </c>
      <c r="AR35" s="68">
        <f t="shared" si="30"/>
        <v>1</v>
      </c>
      <c r="AS35" s="68">
        <f t="shared" si="30"/>
        <v>1</v>
      </c>
      <c r="AT35" s="68">
        <f t="shared" si="30"/>
        <v>1</v>
      </c>
      <c r="AU35" s="68">
        <f t="shared" si="30"/>
        <v>1</v>
      </c>
      <c r="AV35" s="68">
        <f t="shared" si="30"/>
        <v>1</v>
      </c>
      <c r="AW35" s="68">
        <f t="shared" si="30"/>
        <v>1</v>
      </c>
      <c r="AX35" s="68">
        <f t="shared" si="30"/>
        <v>1</v>
      </c>
      <c r="AY35" s="68">
        <f t="shared" si="30"/>
        <v>1</v>
      </c>
      <c r="AZ35" s="68">
        <f t="shared" si="30"/>
        <v>1</v>
      </c>
      <c r="BA35" s="68">
        <f t="shared" si="30"/>
        <v>1</v>
      </c>
      <c r="BB35" s="68">
        <f t="shared" si="30"/>
        <v>1</v>
      </c>
      <c r="BC35" s="68">
        <f t="shared" si="30"/>
        <v>1</v>
      </c>
      <c r="BD35" s="68">
        <f t="shared" si="30"/>
        <v>1</v>
      </c>
      <c r="BE35" s="68">
        <f t="shared" si="30"/>
        <v>1</v>
      </c>
      <c r="BF35" s="68">
        <f t="shared" si="30"/>
        <v>1</v>
      </c>
      <c r="BG35" s="68">
        <f t="shared" si="30"/>
        <v>1</v>
      </c>
      <c r="BH35" s="68">
        <f t="shared" si="30"/>
        <v>1</v>
      </c>
      <c r="BI35" s="68">
        <f t="shared" si="30"/>
        <v>1</v>
      </c>
      <c r="BJ35" s="68">
        <f t="shared" si="30"/>
        <v>1</v>
      </c>
      <c r="BK35" s="68">
        <f t="shared" si="30"/>
        <v>1</v>
      </c>
      <c r="BL35" s="68">
        <f t="shared" si="30"/>
        <v>1</v>
      </c>
      <c r="BM35" s="68">
        <f t="shared" si="30"/>
        <v>2</v>
      </c>
      <c r="BN35" s="68">
        <f t="shared" si="30"/>
        <v>2</v>
      </c>
      <c r="BO35" s="68">
        <f t="shared" si="30"/>
        <v>2</v>
      </c>
      <c r="BP35" s="68">
        <f t="shared" si="30"/>
        <v>2</v>
      </c>
      <c r="BQ35" s="68">
        <f t="shared" si="30"/>
        <v>2</v>
      </c>
      <c r="BR35" s="68">
        <f t="shared" si="30"/>
        <v>2</v>
      </c>
      <c r="BS35" s="68">
        <f t="shared" si="30"/>
        <v>3</v>
      </c>
      <c r="BT35" s="68">
        <f t="shared" si="30"/>
        <v>3</v>
      </c>
      <c r="BU35" s="68">
        <f t="shared" si="30"/>
        <v>3</v>
      </c>
      <c r="BV35" s="68">
        <f t="shared" si="30"/>
        <v>3</v>
      </c>
      <c r="BW35" s="68">
        <f t="shared" si="30"/>
        <v>3</v>
      </c>
      <c r="BX35" s="68">
        <f t="shared" si="30"/>
        <v>3</v>
      </c>
      <c r="BY35" s="68">
        <f t="shared" si="30"/>
        <v>3</v>
      </c>
      <c r="BZ35" s="68">
        <f t="shared" si="30"/>
        <v>3</v>
      </c>
      <c r="CA35" s="68">
        <f t="shared" si="30"/>
        <v>4</v>
      </c>
      <c r="CB35" s="68">
        <f t="shared" si="30"/>
        <v>4</v>
      </c>
      <c r="CC35" s="68">
        <f t="shared" si="30"/>
        <v>4</v>
      </c>
      <c r="CD35" s="68">
        <f t="shared" si="30"/>
        <v>4</v>
      </c>
      <c r="CE35" s="68">
        <f t="shared" si="30"/>
        <v>4</v>
      </c>
      <c r="CF35" s="68">
        <f t="shared" si="30"/>
        <v>4</v>
      </c>
      <c r="CG35" s="68">
        <f t="shared" si="30"/>
        <v>4</v>
      </c>
      <c r="CH35" s="68">
        <f t="shared" si="30"/>
        <v>4</v>
      </c>
      <c r="CI35" s="68">
        <f t="shared" si="30"/>
        <v>5</v>
      </c>
      <c r="CJ35" s="68">
        <f t="shared" si="30"/>
        <v>5</v>
      </c>
      <c r="CK35" s="68">
        <f t="shared" si="30"/>
        <v>5</v>
      </c>
      <c r="CL35" s="68">
        <f t="shared" si="30"/>
        <v>5</v>
      </c>
      <c r="CM35" s="68">
        <f t="shared" si="30"/>
        <v>5</v>
      </c>
      <c r="CN35" s="68">
        <f t="shared" si="30"/>
        <v>5</v>
      </c>
      <c r="CO35" s="68">
        <f t="shared" si="30"/>
        <v>5</v>
      </c>
      <c r="CP35" s="68">
        <f t="shared" si="30"/>
        <v>5</v>
      </c>
      <c r="CQ35" s="68">
        <f t="shared" si="30"/>
        <v>6</v>
      </c>
      <c r="CR35" s="68">
        <f t="shared" si="30"/>
        <v>6</v>
      </c>
      <c r="CS35" s="68">
        <f t="shared" si="30"/>
        <v>6</v>
      </c>
      <c r="CT35" s="68">
        <f t="shared" si="30"/>
        <v>6</v>
      </c>
      <c r="CU35" s="68">
        <f t="shared" si="30"/>
        <v>6</v>
      </c>
      <c r="CV35" s="3"/>
    </row>
    <row r="36" spans="1:100" ht="15.75" customHeight="1" outlineLevel="1">
      <c r="A36" s="84"/>
      <c r="B36" s="21"/>
      <c r="C36" s="21" t="s">
        <v>35</v>
      </c>
      <c r="D36" s="68">
        <f t="shared" si="30"/>
        <v>0</v>
      </c>
      <c r="E36" s="68">
        <f t="shared" si="30"/>
        <v>0</v>
      </c>
      <c r="F36" s="68">
        <f t="shared" si="30"/>
        <v>0</v>
      </c>
      <c r="G36" s="68">
        <f t="shared" si="30"/>
        <v>0</v>
      </c>
      <c r="H36" s="68">
        <f t="shared" si="30"/>
        <v>0</v>
      </c>
      <c r="I36" s="68">
        <f t="shared" si="30"/>
        <v>0</v>
      </c>
      <c r="J36" s="68">
        <f t="shared" si="30"/>
        <v>0</v>
      </c>
      <c r="K36" s="68">
        <f t="shared" si="30"/>
        <v>0</v>
      </c>
      <c r="L36" s="68">
        <f t="shared" si="30"/>
        <v>0</v>
      </c>
      <c r="M36" s="68">
        <f t="shared" si="30"/>
        <v>0</v>
      </c>
      <c r="N36" s="68">
        <f t="shared" si="30"/>
        <v>0</v>
      </c>
      <c r="O36" s="68">
        <f t="shared" si="30"/>
        <v>0</v>
      </c>
      <c r="P36" s="68">
        <f t="shared" si="30"/>
        <v>0</v>
      </c>
      <c r="Q36" s="68">
        <f t="shared" si="30"/>
        <v>0</v>
      </c>
      <c r="R36" s="68">
        <f t="shared" si="30"/>
        <v>0</v>
      </c>
      <c r="S36" s="68">
        <f t="shared" si="30"/>
        <v>0</v>
      </c>
      <c r="T36" s="68">
        <f t="shared" si="30"/>
        <v>0</v>
      </c>
      <c r="U36" s="68">
        <f t="shared" si="30"/>
        <v>0</v>
      </c>
      <c r="V36" s="68">
        <f t="shared" si="30"/>
        <v>0</v>
      </c>
      <c r="W36" s="68">
        <f t="shared" si="30"/>
        <v>0</v>
      </c>
      <c r="X36" s="68">
        <f t="shared" si="30"/>
        <v>0</v>
      </c>
      <c r="Y36" s="68">
        <f t="shared" si="30"/>
        <v>0</v>
      </c>
      <c r="Z36" s="68">
        <f t="shared" si="30"/>
        <v>0</v>
      </c>
      <c r="AA36" s="68">
        <f t="shared" si="30"/>
        <v>0</v>
      </c>
      <c r="AB36" s="68">
        <f t="shared" si="30"/>
        <v>0</v>
      </c>
      <c r="AC36" s="68">
        <f t="shared" si="30"/>
        <v>0</v>
      </c>
      <c r="AD36" s="68">
        <f t="shared" si="30"/>
        <v>0</v>
      </c>
      <c r="AE36" s="68">
        <f t="shared" si="30"/>
        <v>0</v>
      </c>
      <c r="AF36" s="68">
        <f t="shared" si="30"/>
        <v>0</v>
      </c>
      <c r="AG36" s="68">
        <f t="shared" si="30"/>
        <v>0</v>
      </c>
      <c r="AH36" s="68">
        <f t="shared" si="30"/>
        <v>0</v>
      </c>
      <c r="AI36" s="68">
        <f t="shared" si="30"/>
        <v>0</v>
      </c>
      <c r="AJ36" s="68">
        <f t="shared" si="30"/>
        <v>0</v>
      </c>
      <c r="AK36" s="68">
        <f t="shared" si="30"/>
        <v>0</v>
      </c>
      <c r="AL36" s="68">
        <f t="shared" si="30"/>
        <v>0</v>
      </c>
      <c r="AM36" s="68">
        <f t="shared" si="30"/>
        <v>0</v>
      </c>
      <c r="AN36" s="68">
        <f t="shared" si="30"/>
        <v>0</v>
      </c>
      <c r="AO36" s="68">
        <f t="shared" si="30"/>
        <v>0</v>
      </c>
      <c r="AP36" s="68">
        <f t="shared" si="30"/>
        <v>0</v>
      </c>
      <c r="AQ36" s="68">
        <f t="shared" si="30"/>
        <v>0</v>
      </c>
      <c r="AR36" s="68">
        <f t="shared" si="30"/>
        <v>0</v>
      </c>
      <c r="AS36" s="68">
        <f t="shared" si="30"/>
        <v>0</v>
      </c>
      <c r="AT36" s="68">
        <f t="shared" si="30"/>
        <v>0</v>
      </c>
      <c r="AU36" s="68">
        <f t="shared" si="30"/>
        <v>0</v>
      </c>
      <c r="AV36" s="68">
        <f t="shared" si="30"/>
        <v>1</v>
      </c>
      <c r="AW36" s="68">
        <f t="shared" si="30"/>
        <v>1</v>
      </c>
      <c r="AX36" s="68">
        <f t="shared" si="30"/>
        <v>1</v>
      </c>
      <c r="AY36" s="68">
        <f t="shared" si="30"/>
        <v>1</v>
      </c>
      <c r="AZ36" s="68">
        <f t="shared" si="30"/>
        <v>1</v>
      </c>
      <c r="BA36" s="68">
        <f t="shared" si="30"/>
        <v>1</v>
      </c>
      <c r="BB36" s="68">
        <f t="shared" si="30"/>
        <v>1</v>
      </c>
      <c r="BC36" s="68">
        <f t="shared" si="30"/>
        <v>1</v>
      </c>
      <c r="BD36" s="68">
        <f t="shared" si="30"/>
        <v>1</v>
      </c>
      <c r="BE36" s="68">
        <f t="shared" si="30"/>
        <v>1</v>
      </c>
      <c r="BF36" s="68">
        <f t="shared" si="30"/>
        <v>1</v>
      </c>
      <c r="BG36" s="68">
        <f t="shared" si="30"/>
        <v>1</v>
      </c>
      <c r="BH36" s="68">
        <f t="shared" si="30"/>
        <v>1</v>
      </c>
      <c r="BI36" s="68">
        <f t="shared" si="30"/>
        <v>1</v>
      </c>
      <c r="BJ36" s="68">
        <f t="shared" si="30"/>
        <v>1</v>
      </c>
      <c r="BK36" s="68">
        <f t="shared" si="30"/>
        <v>1</v>
      </c>
      <c r="BL36" s="68">
        <f t="shared" si="30"/>
        <v>1</v>
      </c>
      <c r="BM36" s="68">
        <f t="shared" si="30"/>
        <v>2</v>
      </c>
      <c r="BN36" s="68">
        <f t="shared" si="30"/>
        <v>2</v>
      </c>
      <c r="BO36" s="68">
        <f t="shared" si="30"/>
        <v>2</v>
      </c>
      <c r="BP36" s="68">
        <f t="shared" si="30"/>
        <v>2</v>
      </c>
      <c r="BQ36" s="68">
        <f t="shared" si="30"/>
        <v>2</v>
      </c>
      <c r="BR36" s="68">
        <f t="shared" si="30"/>
        <v>2</v>
      </c>
      <c r="BS36" s="68">
        <f t="shared" si="30"/>
        <v>3</v>
      </c>
      <c r="BT36" s="68">
        <f t="shared" si="30"/>
        <v>3</v>
      </c>
      <c r="BU36" s="68">
        <f t="shared" si="30"/>
        <v>3</v>
      </c>
      <c r="BV36" s="68">
        <f t="shared" si="30"/>
        <v>3</v>
      </c>
      <c r="BW36" s="68">
        <f t="shared" si="30"/>
        <v>3</v>
      </c>
      <c r="BX36" s="68">
        <f t="shared" si="30"/>
        <v>3</v>
      </c>
      <c r="BY36" s="68">
        <f t="shared" si="30"/>
        <v>3</v>
      </c>
      <c r="BZ36" s="68">
        <f t="shared" si="30"/>
        <v>3</v>
      </c>
      <c r="CA36" s="68">
        <f t="shared" si="30"/>
        <v>4</v>
      </c>
      <c r="CB36" s="68">
        <f t="shared" si="30"/>
        <v>4</v>
      </c>
      <c r="CC36" s="68">
        <f t="shared" si="30"/>
        <v>4</v>
      </c>
      <c r="CD36" s="68">
        <f t="shared" si="30"/>
        <v>4</v>
      </c>
      <c r="CE36" s="68">
        <f t="shared" si="30"/>
        <v>4</v>
      </c>
      <c r="CF36" s="68">
        <f t="shared" si="30"/>
        <v>4</v>
      </c>
      <c r="CG36" s="68">
        <f t="shared" si="30"/>
        <v>4</v>
      </c>
      <c r="CH36" s="68">
        <f t="shared" si="30"/>
        <v>4</v>
      </c>
      <c r="CI36" s="68">
        <f t="shared" si="30"/>
        <v>5</v>
      </c>
      <c r="CJ36" s="68">
        <f t="shared" si="30"/>
        <v>5</v>
      </c>
      <c r="CK36" s="68">
        <f t="shared" si="30"/>
        <v>5</v>
      </c>
      <c r="CL36" s="68">
        <f t="shared" si="30"/>
        <v>5</v>
      </c>
      <c r="CM36" s="68">
        <f t="shared" si="30"/>
        <v>5</v>
      </c>
      <c r="CN36" s="68">
        <f t="shared" si="30"/>
        <v>5</v>
      </c>
      <c r="CO36" s="68">
        <f t="shared" si="30"/>
        <v>5</v>
      </c>
      <c r="CP36" s="68">
        <f t="shared" si="30"/>
        <v>5</v>
      </c>
      <c r="CQ36" s="68">
        <f t="shared" si="30"/>
        <v>6</v>
      </c>
      <c r="CR36" s="68">
        <f t="shared" si="30"/>
        <v>6</v>
      </c>
      <c r="CS36" s="68">
        <f t="shared" si="30"/>
        <v>6</v>
      </c>
      <c r="CT36" s="68">
        <f t="shared" si="30"/>
        <v>6</v>
      </c>
      <c r="CU36" s="68">
        <f t="shared" si="30"/>
        <v>6</v>
      </c>
      <c r="CV36" s="3"/>
    </row>
    <row r="37" spans="1:100" ht="15.75" customHeight="1" outlineLevel="1">
      <c r="A37" s="84"/>
      <c r="B37" s="21"/>
      <c r="C37" s="21" t="s">
        <v>36</v>
      </c>
      <c r="D37" s="68">
        <f t="shared" si="30"/>
        <v>0</v>
      </c>
      <c r="E37" s="68">
        <f t="shared" si="30"/>
        <v>0</v>
      </c>
      <c r="F37" s="68">
        <f t="shared" si="30"/>
        <v>0</v>
      </c>
      <c r="G37" s="68">
        <f t="shared" si="30"/>
        <v>0</v>
      </c>
      <c r="H37" s="68">
        <f t="shared" si="30"/>
        <v>0</v>
      </c>
      <c r="I37" s="68">
        <f t="shared" si="30"/>
        <v>0</v>
      </c>
      <c r="J37" s="68">
        <f t="shared" si="30"/>
        <v>0</v>
      </c>
      <c r="K37" s="68">
        <f t="shared" si="30"/>
        <v>0</v>
      </c>
      <c r="L37" s="68">
        <f t="shared" si="30"/>
        <v>0</v>
      </c>
      <c r="M37" s="68">
        <f t="shared" si="30"/>
        <v>0</v>
      </c>
      <c r="N37" s="68">
        <f t="shared" si="30"/>
        <v>0</v>
      </c>
      <c r="O37" s="68">
        <f t="shared" si="30"/>
        <v>0</v>
      </c>
      <c r="P37" s="68">
        <f t="shared" si="30"/>
        <v>0</v>
      </c>
      <c r="Q37" s="68">
        <f t="shared" si="30"/>
        <v>0</v>
      </c>
      <c r="R37" s="68">
        <f t="shared" si="30"/>
        <v>0</v>
      </c>
      <c r="S37" s="68">
        <f t="shared" si="30"/>
        <v>0</v>
      </c>
      <c r="T37" s="68">
        <f t="shared" si="30"/>
        <v>0</v>
      </c>
      <c r="U37" s="68">
        <f t="shared" si="30"/>
        <v>0</v>
      </c>
      <c r="V37" s="68">
        <f t="shared" si="30"/>
        <v>0</v>
      </c>
      <c r="W37" s="68">
        <f t="shared" si="30"/>
        <v>0</v>
      </c>
      <c r="X37" s="68">
        <f t="shared" si="30"/>
        <v>0</v>
      </c>
      <c r="Y37" s="68">
        <f t="shared" si="30"/>
        <v>0</v>
      </c>
      <c r="Z37" s="68">
        <f t="shared" si="30"/>
        <v>0</v>
      </c>
      <c r="AA37" s="68">
        <f t="shared" si="30"/>
        <v>0</v>
      </c>
      <c r="AB37" s="68">
        <f t="shared" si="30"/>
        <v>0</v>
      </c>
      <c r="AC37" s="68">
        <f t="shared" si="30"/>
        <v>0</v>
      </c>
      <c r="AD37" s="68">
        <f t="shared" si="30"/>
        <v>0</v>
      </c>
      <c r="AE37" s="68">
        <f t="shared" si="30"/>
        <v>0</v>
      </c>
      <c r="AF37" s="68">
        <f t="shared" si="30"/>
        <v>0</v>
      </c>
      <c r="AG37" s="68">
        <f t="shared" si="30"/>
        <v>0</v>
      </c>
      <c r="AH37" s="68">
        <f t="shared" si="30"/>
        <v>0</v>
      </c>
      <c r="AI37" s="68">
        <f t="shared" si="30"/>
        <v>0</v>
      </c>
      <c r="AJ37" s="68">
        <f t="shared" si="30"/>
        <v>0</v>
      </c>
      <c r="AK37" s="68">
        <f t="shared" si="30"/>
        <v>0</v>
      </c>
      <c r="AL37" s="68">
        <f t="shared" si="30"/>
        <v>0</v>
      </c>
      <c r="AM37" s="68">
        <f t="shared" si="30"/>
        <v>0</v>
      </c>
      <c r="AN37" s="68">
        <f t="shared" si="30"/>
        <v>0</v>
      </c>
      <c r="AO37" s="68">
        <f t="shared" si="30"/>
        <v>0</v>
      </c>
      <c r="AP37" s="68">
        <f t="shared" si="30"/>
        <v>0</v>
      </c>
      <c r="AQ37" s="68">
        <f t="shared" si="30"/>
        <v>0</v>
      </c>
      <c r="AR37" s="68">
        <f t="shared" si="30"/>
        <v>0</v>
      </c>
      <c r="AS37" s="68">
        <f t="shared" si="30"/>
        <v>0</v>
      </c>
      <c r="AT37" s="68">
        <f t="shared" si="30"/>
        <v>0</v>
      </c>
      <c r="AU37" s="68">
        <f t="shared" si="30"/>
        <v>0</v>
      </c>
      <c r="AV37" s="68">
        <f t="shared" si="30"/>
        <v>1</v>
      </c>
      <c r="AW37" s="68">
        <f t="shared" si="30"/>
        <v>1</v>
      </c>
      <c r="AX37" s="68">
        <f t="shared" si="30"/>
        <v>1</v>
      </c>
      <c r="AY37" s="68">
        <f t="shared" si="30"/>
        <v>1</v>
      </c>
      <c r="AZ37" s="68">
        <f t="shared" si="30"/>
        <v>1</v>
      </c>
      <c r="BA37" s="68">
        <f t="shared" si="30"/>
        <v>1</v>
      </c>
      <c r="BB37" s="68">
        <f t="shared" si="30"/>
        <v>1</v>
      </c>
      <c r="BC37" s="68">
        <f t="shared" si="30"/>
        <v>1</v>
      </c>
      <c r="BD37" s="68">
        <f t="shared" si="30"/>
        <v>1</v>
      </c>
      <c r="BE37" s="68">
        <f t="shared" si="30"/>
        <v>1</v>
      </c>
      <c r="BF37" s="68">
        <f t="shared" si="30"/>
        <v>1</v>
      </c>
      <c r="BG37" s="68">
        <f t="shared" si="30"/>
        <v>1</v>
      </c>
      <c r="BH37" s="68">
        <f t="shared" si="30"/>
        <v>1</v>
      </c>
      <c r="BI37" s="68">
        <f t="shared" si="30"/>
        <v>1</v>
      </c>
      <c r="BJ37" s="68">
        <f t="shared" si="30"/>
        <v>1</v>
      </c>
      <c r="BK37" s="68">
        <f t="shared" si="30"/>
        <v>1</v>
      </c>
      <c r="BL37" s="68">
        <f t="shared" si="30"/>
        <v>1</v>
      </c>
      <c r="BM37" s="68">
        <f t="shared" si="30"/>
        <v>1</v>
      </c>
      <c r="BN37" s="68">
        <f t="shared" si="30"/>
        <v>1</v>
      </c>
      <c r="BO37" s="68">
        <f t="shared" ref="BO37:CU37" si="31">BO96</f>
        <v>1</v>
      </c>
      <c r="BP37" s="68">
        <f t="shared" si="31"/>
        <v>1</v>
      </c>
      <c r="BQ37" s="68">
        <f t="shared" si="31"/>
        <v>1</v>
      </c>
      <c r="BR37" s="68">
        <f t="shared" si="31"/>
        <v>1</v>
      </c>
      <c r="BS37" s="68">
        <f t="shared" si="31"/>
        <v>1</v>
      </c>
      <c r="BT37" s="68">
        <f t="shared" si="31"/>
        <v>1</v>
      </c>
      <c r="BU37" s="68">
        <f t="shared" si="31"/>
        <v>1</v>
      </c>
      <c r="BV37" s="68">
        <f t="shared" si="31"/>
        <v>1</v>
      </c>
      <c r="BW37" s="68">
        <f t="shared" si="31"/>
        <v>1</v>
      </c>
      <c r="BX37" s="68">
        <f t="shared" si="31"/>
        <v>1</v>
      </c>
      <c r="BY37" s="68">
        <f t="shared" si="31"/>
        <v>1</v>
      </c>
      <c r="BZ37" s="68">
        <f t="shared" si="31"/>
        <v>1</v>
      </c>
      <c r="CA37" s="68">
        <f t="shared" si="31"/>
        <v>1</v>
      </c>
      <c r="CB37" s="68">
        <f t="shared" si="31"/>
        <v>1</v>
      </c>
      <c r="CC37" s="68">
        <f t="shared" si="31"/>
        <v>1</v>
      </c>
      <c r="CD37" s="68">
        <f t="shared" si="31"/>
        <v>1</v>
      </c>
      <c r="CE37" s="68">
        <f t="shared" si="31"/>
        <v>1</v>
      </c>
      <c r="CF37" s="68">
        <f t="shared" si="31"/>
        <v>1</v>
      </c>
      <c r="CG37" s="68">
        <f t="shared" si="31"/>
        <v>1</v>
      </c>
      <c r="CH37" s="68">
        <f t="shared" si="31"/>
        <v>1</v>
      </c>
      <c r="CI37" s="68">
        <f t="shared" si="31"/>
        <v>1</v>
      </c>
      <c r="CJ37" s="68">
        <f t="shared" si="31"/>
        <v>1</v>
      </c>
      <c r="CK37" s="68">
        <f t="shared" si="31"/>
        <v>1</v>
      </c>
      <c r="CL37" s="68">
        <f t="shared" si="31"/>
        <v>1</v>
      </c>
      <c r="CM37" s="68">
        <f t="shared" si="31"/>
        <v>1</v>
      </c>
      <c r="CN37" s="68">
        <f t="shared" si="31"/>
        <v>1</v>
      </c>
      <c r="CO37" s="68">
        <f t="shared" si="31"/>
        <v>1</v>
      </c>
      <c r="CP37" s="68">
        <f t="shared" si="31"/>
        <v>1</v>
      </c>
      <c r="CQ37" s="68">
        <f t="shared" si="31"/>
        <v>1</v>
      </c>
      <c r="CR37" s="68">
        <f t="shared" si="31"/>
        <v>1</v>
      </c>
      <c r="CS37" s="68">
        <f t="shared" si="31"/>
        <v>1</v>
      </c>
      <c r="CT37" s="68">
        <f t="shared" si="31"/>
        <v>1</v>
      </c>
      <c r="CU37" s="68">
        <f t="shared" si="31"/>
        <v>1</v>
      </c>
    </row>
    <row r="38" spans="1:100" ht="15.75" customHeight="1" outlineLevel="1">
      <c r="A38" s="84"/>
      <c r="B38" s="21"/>
      <c r="C38" s="21" t="s">
        <v>37</v>
      </c>
      <c r="D38" s="68">
        <f t="shared" ref="D38:CU40" si="32">D97</f>
        <v>0</v>
      </c>
      <c r="E38" s="68">
        <f t="shared" si="32"/>
        <v>0</v>
      </c>
      <c r="F38" s="68">
        <f t="shared" si="32"/>
        <v>0</v>
      </c>
      <c r="G38" s="68">
        <f t="shared" si="32"/>
        <v>0</v>
      </c>
      <c r="H38" s="68">
        <f t="shared" si="32"/>
        <v>0</v>
      </c>
      <c r="I38" s="68">
        <f t="shared" si="32"/>
        <v>0</v>
      </c>
      <c r="J38" s="68">
        <f t="shared" si="32"/>
        <v>0</v>
      </c>
      <c r="K38" s="68">
        <f t="shared" si="32"/>
        <v>0</v>
      </c>
      <c r="L38" s="68">
        <f t="shared" si="32"/>
        <v>0</v>
      </c>
      <c r="M38" s="68">
        <f t="shared" si="32"/>
        <v>0</v>
      </c>
      <c r="N38" s="68">
        <f t="shared" si="32"/>
        <v>0</v>
      </c>
      <c r="O38" s="68">
        <f t="shared" si="32"/>
        <v>0</v>
      </c>
      <c r="P38" s="68">
        <f t="shared" si="32"/>
        <v>0</v>
      </c>
      <c r="Q38" s="68">
        <f t="shared" si="32"/>
        <v>0</v>
      </c>
      <c r="R38" s="68">
        <f t="shared" si="32"/>
        <v>0</v>
      </c>
      <c r="S38" s="68">
        <f t="shared" si="32"/>
        <v>0</v>
      </c>
      <c r="T38" s="68">
        <f t="shared" si="32"/>
        <v>0</v>
      </c>
      <c r="U38" s="68">
        <f t="shared" si="32"/>
        <v>0</v>
      </c>
      <c r="V38" s="68">
        <f t="shared" si="32"/>
        <v>0</v>
      </c>
      <c r="W38" s="68">
        <f t="shared" si="32"/>
        <v>0</v>
      </c>
      <c r="X38" s="68">
        <f t="shared" si="32"/>
        <v>0</v>
      </c>
      <c r="Y38" s="68">
        <f t="shared" si="32"/>
        <v>0</v>
      </c>
      <c r="Z38" s="68">
        <f t="shared" si="32"/>
        <v>0</v>
      </c>
      <c r="AA38" s="68">
        <f t="shared" si="32"/>
        <v>0</v>
      </c>
      <c r="AB38" s="68">
        <f t="shared" si="32"/>
        <v>0</v>
      </c>
      <c r="AC38" s="68">
        <f t="shared" si="32"/>
        <v>0</v>
      </c>
      <c r="AD38" s="68">
        <f t="shared" si="32"/>
        <v>0</v>
      </c>
      <c r="AE38" s="68">
        <f t="shared" si="32"/>
        <v>0</v>
      </c>
      <c r="AF38" s="68">
        <f t="shared" si="32"/>
        <v>0</v>
      </c>
      <c r="AG38" s="68">
        <f t="shared" si="32"/>
        <v>0</v>
      </c>
      <c r="AH38" s="68">
        <f t="shared" si="32"/>
        <v>0</v>
      </c>
      <c r="AI38" s="68">
        <f t="shared" si="32"/>
        <v>0</v>
      </c>
      <c r="AJ38" s="68">
        <f t="shared" si="32"/>
        <v>0</v>
      </c>
      <c r="AK38" s="68">
        <f t="shared" si="32"/>
        <v>0</v>
      </c>
      <c r="AL38" s="68">
        <f t="shared" si="32"/>
        <v>0</v>
      </c>
      <c r="AM38" s="68">
        <f t="shared" si="32"/>
        <v>0</v>
      </c>
      <c r="AN38" s="68">
        <f t="shared" si="32"/>
        <v>0</v>
      </c>
      <c r="AO38" s="68">
        <f t="shared" si="32"/>
        <v>0</v>
      </c>
      <c r="AP38" s="68">
        <f t="shared" si="32"/>
        <v>0</v>
      </c>
      <c r="AQ38" s="68">
        <f t="shared" si="32"/>
        <v>0</v>
      </c>
      <c r="AR38" s="68">
        <f t="shared" si="32"/>
        <v>0</v>
      </c>
      <c r="AS38" s="68">
        <f t="shared" si="32"/>
        <v>0</v>
      </c>
      <c r="AT38" s="68">
        <f t="shared" si="32"/>
        <v>0</v>
      </c>
      <c r="AU38" s="68">
        <f t="shared" si="32"/>
        <v>0</v>
      </c>
      <c r="AV38" s="68">
        <f t="shared" si="32"/>
        <v>0</v>
      </c>
      <c r="AW38" s="68">
        <f t="shared" si="32"/>
        <v>0</v>
      </c>
      <c r="AX38" s="68">
        <f t="shared" si="32"/>
        <v>0</v>
      </c>
      <c r="AY38" s="68">
        <f t="shared" si="32"/>
        <v>0</v>
      </c>
      <c r="AZ38" s="68">
        <f t="shared" si="32"/>
        <v>0</v>
      </c>
      <c r="BA38" s="68">
        <f t="shared" si="32"/>
        <v>0</v>
      </c>
      <c r="BB38" s="68">
        <f t="shared" si="32"/>
        <v>0</v>
      </c>
      <c r="BC38" s="68">
        <f t="shared" si="32"/>
        <v>1</v>
      </c>
      <c r="BD38" s="68">
        <f t="shared" si="32"/>
        <v>1</v>
      </c>
      <c r="BE38" s="68">
        <f t="shared" si="32"/>
        <v>1</v>
      </c>
      <c r="BF38" s="68">
        <f t="shared" si="32"/>
        <v>1</v>
      </c>
      <c r="BG38" s="68">
        <f t="shared" si="32"/>
        <v>1</v>
      </c>
      <c r="BH38" s="68">
        <f t="shared" si="32"/>
        <v>1</v>
      </c>
      <c r="BI38" s="68">
        <f t="shared" si="32"/>
        <v>1</v>
      </c>
      <c r="BJ38" s="68">
        <f t="shared" si="32"/>
        <v>1</v>
      </c>
      <c r="BK38" s="68">
        <f t="shared" si="32"/>
        <v>1</v>
      </c>
      <c r="BL38" s="68">
        <f t="shared" si="32"/>
        <v>1</v>
      </c>
      <c r="BM38" s="68">
        <f t="shared" si="32"/>
        <v>1</v>
      </c>
      <c r="BN38" s="68">
        <f t="shared" si="32"/>
        <v>1</v>
      </c>
      <c r="BO38" s="68">
        <f t="shared" si="32"/>
        <v>1</v>
      </c>
      <c r="BP38" s="68">
        <f t="shared" si="32"/>
        <v>1</v>
      </c>
      <c r="BQ38" s="68">
        <f t="shared" si="32"/>
        <v>1</v>
      </c>
      <c r="BR38" s="68">
        <f t="shared" si="32"/>
        <v>1</v>
      </c>
      <c r="BS38" s="68">
        <f t="shared" si="32"/>
        <v>1</v>
      </c>
      <c r="BT38" s="68">
        <f t="shared" si="32"/>
        <v>1</v>
      </c>
      <c r="BU38" s="68">
        <f t="shared" si="32"/>
        <v>1</v>
      </c>
      <c r="BV38" s="68">
        <f t="shared" si="32"/>
        <v>1</v>
      </c>
      <c r="BW38" s="68">
        <f t="shared" si="32"/>
        <v>1</v>
      </c>
      <c r="BX38" s="68">
        <f t="shared" si="32"/>
        <v>1</v>
      </c>
      <c r="BY38" s="68">
        <f t="shared" si="32"/>
        <v>1</v>
      </c>
      <c r="BZ38" s="68">
        <f t="shared" si="32"/>
        <v>1</v>
      </c>
      <c r="CA38" s="68">
        <f t="shared" si="32"/>
        <v>1</v>
      </c>
      <c r="CB38" s="68">
        <f t="shared" si="32"/>
        <v>1</v>
      </c>
      <c r="CC38" s="68">
        <f t="shared" si="32"/>
        <v>1</v>
      </c>
      <c r="CD38" s="68">
        <f t="shared" si="32"/>
        <v>1</v>
      </c>
      <c r="CE38" s="68">
        <f t="shared" si="32"/>
        <v>1</v>
      </c>
      <c r="CF38" s="68">
        <f t="shared" si="32"/>
        <v>1</v>
      </c>
      <c r="CG38" s="68">
        <f t="shared" si="32"/>
        <v>1</v>
      </c>
      <c r="CH38" s="68">
        <f t="shared" si="32"/>
        <v>1</v>
      </c>
      <c r="CI38" s="68">
        <f t="shared" si="32"/>
        <v>1</v>
      </c>
      <c r="CJ38" s="68">
        <f t="shared" si="32"/>
        <v>1</v>
      </c>
      <c r="CK38" s="68">
        <f t="shared" si="32"/>
        <v>1</v>
      </c>
      <c r="CL38" s="68">
        <f t="shared" si="32"/>
        <v>1</v>
      </c>
      <c r="CM38" s="68">
        <f t="shared" si="32"/>
        <v>1</v>
      </c>
      <c r="CN38" s="68">
        <f t="shared" si="32"/>
        <v>1</v>
      </c>
      <c r="CO38" s="68">
        <f t="shared" si="32"/>
        <v>1</v>
      </c>
      <c r="CP38" s="68">
        <f t="shared" si="32"/>
        <v>1</v>
      </c>
      <c r="CQ38" s="68">
        <f t="shared" si="32"/>
        <v>1</v>
      </c>
      <c r="CR38" s="68">
        <f t="shared" si="32"/>
        <v>1</v>
      </c>
      <c r="CS38" s="68">
        <f t="shared" si="32"/>
        <v>1</v>
      </c>
      <c r="CT38" s="68">
        <f t="shared" si="32"/>
        <v>1</v>
      </c>
      <c r="CU38" s="68">
        <f t="shared" si="32"/>
        <v>1</v>
      </c>
    </row>
    <row r="39" spans="1:100" ht="15.75" customHeight="1" outlineLevel="1">
      <c r="A39" s="84"/>
      <c r="B39" s="21"/>
      <c r="C39" s="21" t="s">
        <v>38</v>
      </c>
      <c r="D39" s="68">
        <f t="shared" si="32"/>
        <v>0</v>
      </c>
      <c r="E39" s="68">
        <f t="shared" si="32"/>
        <v>0</v>
      </c>
      <c r="F39" s="68">
        <f t="shared" si="32"/>
        <v>0</v>
      </c>
      <c r="G39" s="68">
        <f t="shared" si="32"/>
        <v>0</v>
      </c>
      <c r="H39" s="68">
        <f t="shared" si="32"/>
        <v>0</v>
      </c>
      <c r="I39" s="68">
        <f t="shared" si="32"/>
        <v>0</v>
      </c>
      <c r="J39" s="68">
        <f t="shared" si="32"/>
        <v>0</v>
      </c>
      <c r="K39" s="68">
        <f t="shared" si="32"/>
        <v>0</v>
      </c>
      <c r="L39" s="68">
        <f t="shared" si="32"/>
        <v>0</v>
      </c>
      <c r="M39" s="68">
        <f t="shared" si="32"/>
        <v>0</v>
      </c>
      <c r="N39" s="68">
        <f t="shared" si="32"/>
        <v>0</v>
      </c>
      <c r="O39" s="68">
        <f t="shared" si="32"/>
        <v>0</v>
      </c>
      <c r="P39" s="68">
        <f t="shared" si="32"/>
        <v>0</v>
      </c>
      <c r="Q39" s="68">
        <f t="shared" si="32"/>
        <v>0</v>
      </c>
      <c r="R39" s="68">
        <f t="shared" si="32"/>
        <v>0</v>
      </c>
      <c r="S39" s="68">
        <f t="shared" si="32"/>
        <v>0</v>
      </c>
      <c r="T39" s="68">
        <f t="shared" si="32"/>
        <v>0</v>
      </c>
      <c r="U39" s="68">
        <f t="shared" si="32"/>
        <v>0</v>
      </c>
      <c r="V39" s="68">
        <f t="shared" si="32"/>
        <v>0</v>
      </c>
      <c r="W39" s="68">
        <f t="shared" si="32"/>
        <v>0</v>
      </c>
      <c r="X39" s="68">
        <f t="shared" si="32"/>
        <v>0</v>
      </c>
      <c r="Y39" s="68">
        <f t="shared" si="32"/>
        <v>0</v>
      </c>
      <c r="Z39" s="68">
        <f t="shared" si="32"/>
        <v>0</v>
      </c>
      <c r="AA39" s="68">
        <f t="shared" si="32"/>
        <v>0</v>
      </c>
      <c r="AB39" s="68">
        <f t="shared" si="32"/>
        <v>0</v>
      </c>
      <c r="AC39" s="68">
        <f t="shared" si="32"/>
        <v>0</v>
      </c>
      <c r="AD39" s="68">
        <f t="shared" si="32"/>
        <v>0</v>
      </c>
      <c r="AE39" s="68">
        <f t="shared" si="32"/>
        <v>0</v>
      </c>
      <c r="AF39" s="68">
        <f t="shared" si="32"/>
        <v>0</v>
      </c>
      <c r="AG39" s="68">
        <f t="shared" si="32"/>
        <v>0</v>
      </c>
      <c r="AH39" s="68">
        <f t="shared" si="32"/>
        <v>0</v>
      </c>
      <c r="AI39" s="68">
        <f t="shared" si="32"/>
        <v>0</v>
      </c>
      <c r="AJ39" s="68">
        <f t="shared" si="32"/>
        <v>0</v>
      </c>
      <c r="AK39" s="68">
        <f t="shared" si="32"/>
        <v>0</v>
      </c>
      <c r="AL39" s="68">
        <f t="shared" si="32"/>
        <v>0</v>
      </c>
      <c r="AM39" s="68">
        <f t="shared" si="32"/>
        <v>0</v>
      </c>
      <c r="AN39" s="68">
        <f t="shared" si="32"/>
        <v>0</v>
      </c>
      <c r="AO39" s="68">
        <f t="shared" si="32"/>
        <v>0</v>
      </c>
      <c r="AP39" s="68">
        <f t="shared" si="32"/>
        <v>0</v>
      </c>
      <c r="AQ39" s="68">
        <f t="shared" si="32"/>
        <v>0</v>
      </c>
      <c r="AR39" s="68">
        <f t="shared" si="32"/>
        <v>0</v>
      </c>
      <c r="AS39" s="68">
        <f t="shared" si="32"/>
        <v>0</v>
      </c>
      <c r="AT39" s="68">
        <f t="shared" si="32"/>
        <v>0</v>
      </c>
      <c r="AU39" s="68">
        <f t="shared" si="32"/>
        <v>0</v>
      </c>
      <c r="AV39" s="68">
        <f t="shared" si="32"/>
        <v>0</v>
      </c>
      <c r="AW39" s="68">
        <f t="shared" si="32"/>
        <v>0</v>
      </c>
      <c r="AX39" s="68">
        <f t="shared" si="32"/>
        <v>0</v>
      </c>
      <c r="AY39" s="68">
        <f t="shared" si="32"/>
        <v>0</v>
      </c>
      <c r="AZ39" s="68">
        <f t="shared" si="32"/>
        <v>0</v>
      </c>
      <c r="BA39" s="68">
        <f t="shared" si="32"/>
        <v>0</v>
      </c>
      <c r="BB39" s="68">
        <f t="shared" si="32"/>
        <v>0</v>
      </c>
      <c r="BC39" s="68">
        <f t="shared" si="32"/>
        <v>0</v>
      </c>
      <c r="BD39" s="68">
        <f t="shared" si="32"/>
        <v>0</v>
      </c>
      <c r="BE39" s="68">
        <f t="shared" si="32"/>
        <v>0</v>
      </c>
      <c r="BF39" s="68">
        <f t="shared" si="32"/>
        <v>0</v>
      </c>
      <c r="BG39" s="68">
        <f t="shared" si="32"/>
        <v>0</v>
      </c>
      <c r="BH39" s="68">
        <f t="shared" si="32"/>
        <v>0</v>
      </c>
      <c r="BI39" s="68">
        <f t="shared" si="32"/>
        <v>0</v>
      </c>
      <c r="BJ39" s="68">
        <f t="shared" si="32"/>
        <v>0</v>
      </c>
      <c r="BK39" s="68">
        <f t="shared" si="32"/>
        <v>0</v>
      </c>
      <c r="BL39" s="68">
        <f t="shared" si="32"/>
        <v>1</v>
      </c>
      <c r="BM39" s="68">
        <f t="shared" si="32"/>
        <v>1</v>
      </c>
      <c r="BN39" s="68">
        <f t="shared" si="32"/>
        <v>1</v>
      </c>
      <c r="BO39" s="68">
        <f t="shared" si="32"/>
        <v>1</v>
      </c>
      <c r="BP39" s="68">
        <f t="shared" si="32"/>
        <v>1</v>
      </c>
      <c r="BQ39" s="68">
        <f t="shared" si="32"/>
        <v>1</v>
      </c>
      <c r="BR39" s="68">
        <f t="shared" si="32"/>
        <v>1</v>
      </c>
      <c r="BS39" s="68">
        <f t="shared" si="32"/>
        <v>1</v>
      </c>
      <c r="BT39" s="68">
        <f t="shared" si="32"/>
        <v>1</v>
      </c>
      <c r="BU39" s="68">
        <f t="shared" si="32"/>
        <v>1</v>
      </c>
      <c r="BV39" s="68">
        <f t="shared" si="32"/>
        <v>1</v>
      </c>
      <c r="BW39" s="68">
        <f t="shared" si="32"/>
        <v>1</v>
      </c>
      <c r="BX39" s="68">
        <f t="shared" si="32"/>
        <v>1</v>
      </c>
      <c r="BY39" s="68">
        <f t="shared" si="32"/>
        <v>1</v>
      </c>
      <c r="BZ39" s="68">
        <f t="shared" si="32"/>
        <v>1</v>
      </c>
      <c r="CA39" s="68">
        <f t="shared" si="32"/>
        <v>1</v>
      </c>
      <c r="CB39" s="68">
        <f t="shared" si="32"/>
        <v>1</v>
      </c>
      <c r="CC39" s="68">
        <f t="shared" si="32"/>
        <v>1</v>
      </c>
      <c r="CD39" s="68">
        <f t="shared" si="32"/>
        <v>1</v>
      </c>
      <c r="CE39" s="68">
        <f t="shared" si="32"/>
        <v>1</v>
      </c>
      <c r="CF39" s="68">
        <f t="shared" si="32"/>
        <v>1</v>
      </c>
      <c r="CG39" s="68">
        <f t="shared" si="32"/>
        <v>1</v>
      </c>
      <c r="CH39" s="68">
        <f t="shared" si="32"/>
        <v>1</v>
      </c>
      <c r="CI39" s="68">
        <f t="shared" si="32"/>
        <v>1</v>
      </c>
      <c r="CJ39" s="68">
        <f t="shared" si="32"/>
        <v>1</v>
      </c>
      <c r="CK39" s="68">
        <f t="shared" si="32"/>
        <v>1</v>
      </c>
      <c r="CL39" s="68">
        <f t="shared" si="32"/>
        <v>1</v>
      </c>
      <c r="CM39" s="68">
        <f t="shared" si="32"/>
        <v>1</v>
      </c>
      <c r="CN39" s="68">
        <f t="shared" si="32"/>
        <v>1</v>
      </c>
      <c r="CO39" s="68">
        <f t="shared" si="32"/>
        <v>1</v>
      </c>
      <c r="CP39" s="68">
        <f t="shared" si="32"/>
        <v>1</v>
      </c>
      <c r="CQ39" s="68">
        <f t="shared" si="32"/>
        <v>1</v>
      </c>
      <c r="CR39" s="68">
        <f t="shared" si="32"/>
        <v>1</v>
      </c>
      <c r="CS39" s="68">
        <f t="shared" si="32"/>
        <v>1</v>
      </c>
      <c r="CT39" s="68">
        <f t="shared" si="32"/>
        <v>1</v>
      </c>
      <c r="CU39" s="68">
        <f t="shared" si="32"/>
        <v>1</v>
      </c>
      <c r="CV39" s="3"/>
    </row>
    <row r="40" spans="1:100" ht="15.75" customHeight="1" outlineLevel="1">
      <c r="A40" s="84"/>
      <c r="B40" s="21"/>
      <c r="C40" s="21" t="s">
        <v>39</v>
      </c>
      <c r="D40" s="68">
        <f t="shared" si="32"/>
        <v>0</v>
      </c>
      <c r="E40" s="68">
        <f t="shared" si="32"/>
        <v>0</v>
      </c>
      <c r="F40" s="68">
        <f t="shared" si="32"/>
        <v>0</v>
      </c>
      <c r="G40" s="68">
        <f t="shared" si="32"/>
        <v>0</v>
      </c>
      <c r="H40" s="68">
        <f t="shared" si="32"/>
        <v>0</v>
      </c>
      <c r="I40" s="68">
        <f t="shared" si="32"/>
        <v>0</v>
      </c>
      <c r="J40" s="68">
        <f t="shared" si="32"/>
        <v>0</v>
      </c>
      <c r="K40" s="68">
        <f t="shared" si="32"/>
        <v>0</v>
      </c>
      <c r="L40" s="68">
        <f t="shared" si="32"/>
        <v>0</v>
      </c>
      <c r="M40" s="68">
        <f t="shared" si="32"/>
        <v>0</v>
      </c>
      <c r="N40" s="68">
        <f t="shared" si="32"/>
        <v>0</v>
      </c>
      <c r="O40" s="68">
        <f t="shared" si="32"/>
        <v>0</v>
      </c>
      <c r="P40" s="68">
        <f t="shared" si="32"/>
        <v>0</v>
      </c>
      <c r="Q40" s="68">
        <f t="shared" si="32"/>
        <v>0</v>
      </c>
      <c r="R40" s="68">
        <f t="shared" si="32"/>
        <v>0</v>
      </c>
      <c r="S40" s="68">
        <f t="shared" si="32"/>
        <v>0</v>
      </c>
      <c r="T40" s="68">
        <f t="shared" si="32"/>
        <v>0</v>
      </c>
      <c r="U40" s="68">
        <f t="shared" si="32"/>
        <v>0</v>
      </c>
      <c r="V40" s="68">
        <f t="shared" si="32"/>
        <v>0</v>
      </c>
      <c r="W40" s="68">
        <f t="shared" si="32"/>
        <v>0</v>
      </c>
      <c r="X40" s="68">
        <f t="shared" si="32"/>
        <v>0</v>
      </c>
      <c r="Y40" s="68">
        <f t="shared" si="32"/>
        <v>0</v>
      </c>
      <c r="Z40" s="68">
        <f t="shared" si="32"/>
        <v>0</v>
      </c>
      <c r="AA40" s="68">
        <f t="shared" si="32"/>
        <v>0</v>
      </c>
      <c r="AB40" s="68">
        <f t="shared" si="32"/>
        <v>0</v>
      </c>
      <c r="AC40" s="68">
        <f t="shared" si="32"/>
        <v>0</v>
      </c>
      <c r="AD40" s="68">
        <f t="shared" si="32"/>
        <v>0</v>
      </c>
      <c r="AE40" s="68">
        <f t="shared" si="32"/>
        <v>0</v>
      </c>
      <c r="AF40" s="68">
        <f t="shared" si="32"/>
        <v>0</v>
      </c>
      <c r="AG40" s="68">
        <f t="shared" si="32"/>
        <v>0</v>
      </c>
      <c r="AH40" s="68">
        <f t="shared" si="32"/>
        <v>0</v>
      </c>
      <c r="AI40" s="68">
        <f t="shared" si="32"/>
        <v>0</v>
      </c>
      <c r="AJ40" s="68">
        <f t="shared" si="32"/>
        <v>0</v>
      </c>
      <c r="AK40" s="68">
        <f t="shared" si="32"/>
        <v>0</v>
      </c>
      <c r="AL40" s="68">
        <f t="shared" si="32"/>
        <v>0</v>
      </c>
      <c r="AM40" s="68">
        <f t="shared" si="32"/>
        <v>0</v>
      </c>
      <c r="AN40" s="68">
        <f t="shared" si="32"/>
        <v>0</v>
      </c>
      <c r="AO40" s="68">
        <f t="shared" si="32"/>
        <v>0</v>
      </c>
      <c r="AP40" s="68">
        <f t="shared" si="32"/>
        <v>0</v>
      </c>
      <c r="AQ40" s="68">
        <f t="shared" si="32"/>
        <v>0</v>
      </c>
      <c r="AR40" s="68">
        <f t="shared" si="32"/>
        <v>0</v>
      </c>
      <c r="AS40" s="68">
        <f t="shared" si="32"/>
        <v>0</v>
      </c>
      <c r="AT40" s="68">
        <f t="shared" si="32"/>
        <v>0</v>
      </c>
      <c r="AU40" s="68">
        <f t="shared" si="32"/>
        <v>0</v>
      </c>
      <c r="AV40" s="68">
        <f t="shared" si="32"/>
        <v>0</v>
      </c>
      <c r="AW40" s="68">
        <f t="shared" si="32"/>
        <v>0</v>
      </c>
      <c r="AX40" s="68">
        <f t="shared" si="32"/>
        <v>0</v>
      </c>
      <c r="AY40" s="68">
        <f t="shared" si="32"/>
        <v>0</v>
      </c>
      <c r="AZ40" s="68">
        <f t="shared" si="32"/>
        <v>0</v>
      </c>
      <c r="BA40" s="68">
        <f t="shared" si="32"/>
        <v>0</v>
      </c>
      <c r="BB40" s="68">
        <f t="shared" si="32"/>
        <v>0</v>
      </c>
      <c r="BC40" s="68">
        <f t="shared" si="32"/>
        <v>0</v>
      </c>
      <c r="BD40" s="68">
        <f t="shared" si="32"/>
        <v>0</v>
      </c>
      <c r="BE40" s="68">
        <f t="shared" si="32"/>
        <v>0</v>
      </c>
      <c r="BF40" s="68">
        <f t="shared" si="32"/>
        <v>0</v>
      </c>
      <c r="BG40" s="68">
        <f t="shared" si="32"/>
        <v>0</v>
      </c>
      <c r="BH40" s="68">
        <f t="shared" si="32"/>
        <v>0</v>
      </c>
      <c r="BI40" s="68">
        <f t="shared" si="32"/>
        <v>0</v>
      </c>
      <c r="BJ40" s="68">
        <f t="shared" si="32"/>
        <v>0</v>
      </c>
      <c r="BK40" s="68">
        <f t="shared" si="32"/>
        <v>0</v>
      </c>
      <c r="BL40" s="68">
        <f t="shared" si="32"/>
        <v>1</v>
      </c>
      <c r="BM40" s="68">
        <f t="shared" si="32"/>
        <v>1</v>
      </c>
      <c r="BN40" s="68">
        <f t="shared" si="32"/>
        <v>1</v>
      </c>
      <c r="BO40" s="68">
        <f t="shared" ref="BO40:CU40" si="33">BO99</f>
        <v>1</v>
      </c>
      <c r="BP40" s="68">
        <f t="shared" si="33"/>
        <v>1</v>
      </c>
      <c r="BQ40" s="68">
        <f t="shared" si="33"/>
        <v>1</v>
      </c>
      <c r="BR40" s="68">
        <f t="shared" si="33"/>
        <v>1</v>
      </c>
      <c r="BS40" s="68">
        <f t="shared" si="33"/>
        <v>1</v>
      </c>
      <c r="BT40" s="68">
        <f t="shared" si="33"/>
        <v>1</v>
      </c>
      <c r="BU40" s="68">
        <f t="shared" si="33"/>
        <v>1</v>
      </c>
      <c r="BV40" s="68">
        <f t="shared" si="33"/>
        <v>1</v>
      </c>
      <c r="BW40" s="68">
        <f t="shared" si="33"/>
        <v>1</v>
      </c>
      <c r="BX40" s="68">
        <f t="shared" si="33"/>
        <v>1</v>
      </c>
      <c r="BY40" s="68">
        <f t="shared" si="33"/>
        <v>1</v>
      </c>
      <c r="BZ40" s="68">
        <f t="shared" si="33"/>
        <v>1</v>
      </c>
      <c r="CA40" s="68">
        <f t="shared" si="33"/>
        <v>1</v>
      </c>
      <c r="CB40" s="68">
        <f t="shared" si="33"/>
        <v>1</v>
      </c>
      <c r="CC40" s="68">
        <f t="shared" si="33"/>
        <v>1</v>
      </c>
      <c r="CD40" s="68">
        <f t="shared" si="33"/>
        <v>1</v>
      </c>
      <c r="CE40" s="68">
        <f t="shared" si="33"/>
        <v>1</v>
      </c>
      <c r="CF40" s="68">
        <f t="shared" si="33"/>
        <v>1</v>
      </c>
      <c r="CG40" s="68">
        <f t="shared" si="33"/>
        <v>1</v>
      </c>
      <c r="CH40" s="68">
        <f t="shared" si="33"/>
        <v>1</v>
      </c>
      <c r="CI40" s="68">
        <f t="shared" si="33"/>
        <v>1</v>
      </c>
      <c r="CJ40" s="68">
        <f t="shared" si="33"/>
        <v>1</v>
      </c>
      <c r="CK40" s="68">
        <f t="shared" si="33"/>
        <v>1</v>
      </c>
      <c r="CL40" s="68">
        <f t="shared" si="33"/>
        <v>1</v>
      </c>
      <c r="CM40" s="68">
        <f t="shared" si="33"/>
        <v>1</v>
      </c>
      <c r="CN40" s="68">
        <f t="shared" si="33"/>
        <v>1</v>
      </c>
      <c r="CO40" s="68">
        <f t="shared" si="33"/>
        <v>1</v>
      </c>
      <c r="CP40" s="68">
        <f t="shared" si="33"/>
        <v>1</v>
      </c>
      <c r="CQ40" s="68">
        <f t="shared" si="33"/>
        <v>1</v>
      </c>
      <c r="CR40" s="68">
        <f t="shared" si="33"/>
        <v>1</v>
      </c>
      <c r="CS40" s="68">
        <f t="shared" si="33"/>
        <v>1</v>
      </c>
      <c r="CT40" s="68">
        <f t="shared" si="33"/>
        <v>1</v>
      </c>
      <c r="CU40" s="68">
        <f t="shared" si="33"/>
        <v>1</v>
      </c>
      <c r="CV40" s="3"/>
    </row>
    <row r="41" spans="1:100" ht="15.75" customHeight="1" outlineLevel="1">
      <c r="A41" s="84"/>
      <c r="B41" s="21"/>
      <c r="C41" s="21" t="s">
        <v>40</v>
      </c>
      <c r="D41" s="68">
        <f t="shared" ref="D41:CU43" si="34">D100</f>
        <v>0</v>
      </c>
      <c r="E41" s="68">
        <f t="shared" si="34"/>
        <v>0</v>
      </c>
      <c r="F41" s="68">
        <f t="shared" si="34"/>
        <v>0</v>
      </c>
      <c r="G41" s="68">
        <f t="shared" si="34"/>
        <v>0</v>
      </c>
      <c r="H41" s="68">
        <f t="shared" si="34"/>
        <v>0</v>
      </c>
      <c r="I41" s="68">
        <f t="shared" si="34"/>
        <v>0</v>
      </c>
      <c r="J41" s="68">
        <f t="shared" si="34"/>
        <v>0</v>
      </c>
      <c r="K41" s="68">
        <f t="shared" si="34"/>
        <v>0</v>
      </c>
      <c r="L41" s="68">
        <f t="shared" si="34"/>
        <v>0</v>
      </c>
      <c r="M41" s="68">
        <f t="shared" si="34"/>
        <v>0</v>
      </c>
      <c r="N41" s="68">
        <f t="shared" si="34"/>
        <v>0</v>
      </c>
      <c r="O41" s="68">
        <f t="shared" si="34"/>
        <v>0</v>
      </c>
      <c r="P41" s="68">
        <f t="shared" si="34"/>
        <v>0</v>
      </c>
      <c r="Q41" s="68">
        <f t="shared" si="34"/>
        <v>0</v>
      </c>
      <c r="R41" s="68">
        <f t="shared" si="34"/>
        <v>0</v>
      </c>
      <c r="S41" s="68">
        <f t="shared" si="34"/>
        <v>0</v>
      </c>
      <c r="T41" s="68">
        <f t="shared" si="34"/>
        <v>0</v>
      </c>
      <c r="U41" s="68">
        <f t="shared" si="34"/>
        <v>0</v>
      </c>
      <c r="V41" s="68">
        <f t="shared" si="34"/>
        <v>0</v>
      </c>
      <c r="W41" s="68">
        <f t="shared" si="34"/>
        <v>0</v>
      </c>
      <c r="X41" s="68">
        <f t="shared" si="34"/>
        <v>0</v>
      </c>
      <c r="Y41" s="68">
        <f t="shared" si="34"/>
        <v>0</v>
      </c>
      <c r="Z41" s="68">
        <f t="shared" si="34"/>
        <v>0</v>
      </c>
      <c r="AA41" s="68">
        <f t="shared" si="34"/>
        <v>0</v>
      </c>
      <c r="AB41" s="68">
        <f t="shared" si="34"/>
        <v>0</v>
      </c>
      <c r="AC41" s="68">
        <f t="shared" si="34"/>
        <v>0</v>
      </c>
      <c r="AD41" s="68">
        <f t="shared" si="34"/>
        <v>0</v>
      </c>
      <c r="AE41" s="68">
        <f t="shared" si="34"/>
        <v>0</v>
      </c>
      <c r="AF41" s="68">
        <f t="shared" si="34"/>
        <v>0</v>
      </c>
      <c r="AG41" s="68">
        <f t="shared" si="34"/>
        <v>0</v>
      </c>
      <c r="AH41" s="68">
        <f t="shared" si="34"/>
        <v>0</v>
      </c>
      <c r="AI41" s="68">
        <f t="shared" si="34"/>
        <v>0</v>
      </c>
      <c r="AJ41" s="68">
        <f t="shared" si="34"/>
        <v>0</v>
      </c>
      <c r="AK41" s="68">
        <f t="shared" si="34"/>
        <v>0</v>
      </c>
      <c r="AL41" s="68">
        <f t="shared" si="34"/>
        <v>0</v>
      </c>
      <c r="AM41" s="68">
        <f t="shared" si="34"/>
        <v>0</v>
      </c>
      <c r="AN41" s="68">
        <f t="shared" si="34"/>
        <v>0</v>
      </c>
      <c r="AO41" s="68">
        <f t="shared" si="34"/>
        <v>0</v>
      </c>
      <c r="AP41" s="68">
        <f t="shared" si="34"/>
        <v>0</v>
      </c>
      <c r="AQ41" s="68">
        <f t="shared" si="34"/>
        <v>0</v>
      </c>
      <c r="AR41" s="68">
        <f t="shared" si="34"/>
        <v>0</v>
      </c>
      <c r="AS41" s="68">
        <f t="shared" si="34"/>
        <v>0</v>
      </c>
      <c r="AT41" s="68">
        <f t="shared" si="34"/>
        <v>0</v>
      </c>
      <c r="AU41" s="68">
        <f t="shared" si="34"/>
        <v>0</v>
      </c>
      <c r="AV41" s="68">
        <f t="shared" si="34"/>
        <v>0</v>
      </c>
      <c r="AW41" s="68">
        <f t="shared" si="34"/>
        <v>0</v>
      </c>
      <c r="AX41" s="68">
        <f t="shared" si="34"/>
        <v>0</v>
      </c>
      <c r="AY41" s="68">
        <f t="shared" si="34"/>
        <v>0</v>
      </c>
      <c r="AZ41" s="68">
        <f t="shared" si="34"/>
        <v>0</v>
      </c>
      <c r="BA41" s="68">
        <f t="shared" si="34"/>
        <v>0</v>
      </c>
      <c r="BB41" s="68">
        <f t="shared" si="34"/>
        <v>0</v>
      </c>
      <c r="BC41" s="68">
        <f t="shared" si="34"/>
        <v>0</v>
      </c>
      <c r="BD41" s="68">
        <f t="shared" si="34"/>
        <v>0</v>
      </c>
      <c r="BE41" s="68">
        <f t="shared" si="34"/>
        <v>0</v>
      </c>
      <c r="BF41" s="68">
        <f t="shared" si="34"/>
        <v>0</v>
      </c>
      <c r="BG41" s="68">
        <f t="shared" si="34"/>
        <v>0</v>
      </c>
      <c r="BH41" s="68">
        <f t="shared" si="34"/>
        <v>0</v>
      </c>
      <c r="BI41" s="68">
        <f t="shared" si="34"/>
        <v>0</v>
      </c>
      <c r="BJ41" s="68">
        <f t="shared" si="34"/>
        <v>0</v>
      </c>
      <c r="BK41" s="68">
        <f t="shared" si="34"/>
        <v>0</v>
      </c>
      <c r="BL41" s="68">
        <f t="shared" si="34"/>
        <v>1</v>
      </c>
      <c r="BM41" s="68">
        <f t="shared" si="34"/>
        <v>1</v>
      </c>
      <c r="BN41" s="68">
        <f t="shared" si="34"/>
        <v>1</v>
      </c>
      <c r="BO41" s="68">
        <f t="shared" si="34"/>
        <v>1</v>
      </c>
      <c r="BP41" s="68">
        <f t="shared" si="34"/>
        <v>1</v>
      </c>
      <c r="BQ41" s="68">
        <f t="shared" si="34"/>
        <v>1</v>
      </c>
      <c r="BR41" s="68">
        <f t="shared" si="34"/>
        <v>1</v>
      </c>
      <c r="BS41" s="68">
        <f t="shared" si="34"/>
        <v>2</v>
      </c>
      <c r="BT41" s="68">
        <f t="shared" si="34"/>
        <v>2</v>
      </c>
      <c r="BU41" s="68">
        <f t="shared" si="34"/>
        <v>2</v>
      </c>
      <c r="BV41" s="68">
        <f t="shared" si="34"/>
        <v>2</v>
      </c>
      <c r="BW41" s="68">
        <f t="shared" si="34"/>
        <v>2</v>
      </c>
      <c r="BX41" s="68">
        <f t="shared" si="34"/>
        <v>2</v>
      </c>
      <c r="BY41" s="68">
        <f t="shared" si="34"/>
        <v>2</v>
      </c>
      <c r="BZ41" s="68">
        <f t="shared" si="34"/>
        <v>2</v>
      </c>
      <c r="CA41" s="68">
        <f t="shared" si="34"/>
        <v>3</v>
      </c>
      <c r="CB41" s="68">
        <f t="shared" si="34"/>
        <v>3</v>
      </c>
      <c r="CC41" s="68">
        <f t="shared" si="34"/>
        <v>3</v>
      </c>
      <c r="CD41" s="68">
        <f t="shared" si="34"/>
        <v>3</v>
      </c>
      <c r="CE41" s="68">
        <f t="shared" si="34"/>
        <v>3</v>
      </c>
      <c r="CF41" s="68">
        <f t="shared" si="34"/>
        <v>3</v>
      </c>
      <c r="CG41" s="68">
        <f t="shared" si="34"/>
        <v>3</v>
      </c>
      <c r="CH41" s="68">
        <f t="shared" si="34"/>
        <v>3</v>
      </c>
      <c r="CI41" s="68">
        <f t="shared" si="34"/>
        <v>4</v>
      </c>
      <c r="CJ41" s="68">
        <f t="shared" si="34"/>
        <v>4</v>
      </c>
      <c r="CK41" s="68">
        <f t="shared" si="34"/>
        <v>4</v>
      </c>
      <c r="CL41" s="68">
        <f t="shared" si="34"/>
        <v>4</v>
      </c>
      <c r="CM41" s="68">
        <f t="shared" si="34"/>
        <v>4</v>
      </c>
      <c r="CN41" s="68">
        <f t="shared" si="34"/>
        <v>4</v>
      </c>
      <c r="CO41" s="68">
        <f t="shared" si="34"/>
        <v>4</v>
      </c>
      <c r="CP41" s="68">
        <f t="shared" si="34"/>
        <v>4</v>
      </c>
      <c r="CQ41" s="68">
        <f t="shared" si="34"/>
        <v>5</v>
      </c>
      <c r="CR41" s="68">
        <f t="shared" si="34"/>
        <v>5</v>
      </c>
      <c r="CS41" s="68">
        <f t="shared" si="34"/>
        <v>5</v>
      </c>
      <c r="CT41" s="68">
        <f t="shared" si="34"/>
        <v>5</v>
      </c>
      <c r="CU41" s="68">
        <f t="shared" si="34"/>
        <v>5</v>
      </c>
      <c r="CV41" s="3"/>
    </row>
    <row r="42" spans="1:100" ht="15.75" customHeight="1" outlineLevel="1">
      <c r="A42" s="84"/>
      <c r="B42" s="21"/>
      <c r="C42" s="21" t="s">
        <v>41</v>
      </c>
      <c r="D42" s="68">
        <f t="shared" si="34"/>
        <v>0</v>
      </c>
      <c r="E42" s="68">
        <f t="shared" si="34"/>
        <v>0</v>
      </c>
      <c r="F42" s="68">
        <f t="shared" si="34"/>
        <v>0</v>
      </c>
      <c r="G42" s="68">
        <f t="shared" si="34"/>
        <v>0</v>
      </c>
      <c r="H42" s="68">
        <f t="shared" si="34"/>
        <v>0</v>
      </c>
      <c r="I42" s="68">
        <f t="shared" si="34"/>
        <v>0</v>
      </c>
      <c r="J42" s="68">
        <f t="shared" si="34"/>
        <v>0</v>
      </c>
      <c r="K42" s="68">
        <f t="shared" si="34"/>
        <v>0</v>
      </c>
      <c r="L42" s="68">
        <f t="shared" si="34"/>
        <v>0</v>
      </c>
      <c r="M42" s="68">
        <f t="shared" si="34"/>
        <v>0</v>
      </c>
      <c r="N42" s="68">
        <f t="shared" si="34"/>
        <v>0</v>
      </c>
      <c r="O42" s="68">
        <f t="shared" si="34"/>
        <v>0</v>
      </c>
      <c r="P42" s="68">
        <f t="shared" si="34"/>
        <v>0</v>
      </c>
      <c r="Q42" s="68">
        <f t="shared" si="34"/>
        <v>0</v>
      </c>
      <c r="R42" s="68">
        <f t="shared" si="34"/>
        <v>0</v>
      </c>
      <c r="S42" s="68">
        <f t="shared" si="34"/>
        <v>0</v>
      </c>
      <c r="T42" s="68">
        <f t="shared" si="34"/>
        <v>0</v>
      </c>
      <c r="U42" s="68">
        <f t="shared" si="34"/>
        <v>0</v>
      </c>
      <c r="V42" s="68">
        <f t="shared" si="34"/>
        <v>0</v>
      </c>
      <c r="W42" s="68">
        <f t="shared" si="34"/>
        <v>0</v>
      </c>
      <c r="X42" s="68">
        <f t="shared" si="34"/>
        <v>0</v>
      </c>
      <c r="Y42" s="68">
        <f t="shared" si="34"/>
        <v>0</v>
      </c>
      <c r="Z42" s="68">
        <f t="shared" si="34"/>
        <v>0</v>
      </c>
      <c r="AA42" s="68">
        <f t="shared" si="34"/>
        <v>0</v>
      </c>
      <c r="AB42" s="68">
        <f t="shared" si="34"/>
        <v>0</v>
      </c>
      <c r="AC42" s="68">
        <f t="shared" si="34"/>
        <v>0</v>
      </c>
      <c r="AD42" s="68">
        <f t="shared" si="34"/>
        <v>0</v>
      </c>
      <c r="AE42" s="68">
        <f t="shared" si="34"/>
        <v>0</v>
      </c>
      <c r="AF42" s="68">
        <f t="shared" si="34"/>
        <v>0</v>
      </c>
      <c r="AG42" s="68">
        <f t="shared" si="34"/>
        <v>0</v>
      </c>
      <c r="AH42" s="68">
        <f t="shared" si="34"/>
        <v>0</v>
      </c>
      <c r="AI42" s="68">
        <f t="shared" si="34"/>
        <v>0</v>
      </c>
      <c r="AJ42" s="68">
        <f t="shared" si="34"/>
        <v>0</v>
      </c>
      <c r="AK42" s="68">
        <f t="shared" si="34"/>
        <v>0</v>
      </c>
      <c r="AL42" s="68">
        <f t="shared" si="34"/>
        <v>0</v>
      </c>
      <c r="AM42" s="68">
        <f t="shared" si="34"/>
        <v>0</v>
      </c>
      <c r="AN42" s="68">
        <f t="shared" si="34"/>
        <v>0</v>
      </c>
      <c r="AO42" s="68">
        <f t="shared" si="34"/>
        <v>0</v>
      </c>
      <c r="AP42" s="68">
        <f t="shared" si="34"/>
        <v>0</v>
      </c>
      <c r="AQ42" s="68">
        <f t="shared" si="34"/>
        <v>0</v>
      </c>
      <c r="AR42" s="68">
        <f t="shared" si="34"/>
        <v>0</v>
      </c>
      <c r="AS42" s="68">
        <f t="shared" si="34"/>
        <v>0</v>
      </c>
      <c r="AT42" s="68">
        <f t="shared" si="34"/>
        <v>0</v>
      </c>
      <c r="AU42" s="68">
        <f t="shared" si="34"/>
        <v>0</v>
      </c>
      <c r="AV42" s="68">
        <f t="shared" si="34"/>
        <v>0</v>
      </c>
      <c r="AW42" s="68">
        <f t="shared" si="34"/>
        <v>0</v>
      </c>
      <c r="AX42" s="68">
        <f t="shared" si="34"/>
        <v>0</v>
      </c>
      <c r="AY42" s="68">
        <f t="shared" si="34"/>
        <v>0</v>
      </c>
      <c r="AZ42" s="68">
        <f t="shared" si="34"/>
        <v>0</v>
      </c>
      <c r="BA42" s="68">
        <f t="shared" si="34"/>
        <v>0</v>
      </c>
      <c r="BB42" s="68">
        <f t="shared" si="34"/>
        <v>0</v>
      </c>
      <c r="BC42" s="68">
        <f t="shared" si="34"/>
        <v>1</v>
      </c>
      <c r="BD42" s="68">
        <f t="shared" si="34"/>
        <v>1</v>
      </c>
      <c r="BE42" s="68">
        <f t="shared" si="34"/>
        <v>1</v>
      </c>
      <c r="BF42" s="68">
        <f t="shared" si="34"/>
        <v>1</v>
      </c>
      <c r="BG42" s="68">
        <f t="shared" si="34"/>
        <v>1</v>
      </c>
      <c r="BH42" s="68">
        <f t="shared" si="34"/>
        <v>1</v>
      </c>
      <c r="BI42" s="68">
        <f t="shared" si="34"/>
        <v>1</v>
      </c>
      <c r="BJ42" s="68">
        <f t="shared" si="34"/>
        <v>1</v>
      </c>
      <c r="BK42" s="68">
        <f t="shared" si="34"/>
        <v>1</v>
      </c>
      <c r="BL42" s="68">
        <f t="shared" si="34"/>
        <v>1</v>
      </c>
      <c r="BM42" s="68">
        <f t="shared" si="34"/>
        <v>1</v>
      </c>
      <c r="BN42" s="68">
        <f t="shared" si="34"/>
        <v>1</v>
      </c>
      <c r="BO42" s="68">
        <f t="shared" si="34"/>
        <v>1</v>
      </c>
      <c r="BP42" s="68">
        <f t="shared" si="34"/>
        <v>1</v>
      </c>
      <c r="BQ42" s="68">
        <f t="shared" si="34"/>
        <v>1</v>
      </c>
      <c r="BR42" s="68">
        <f t="shared" si="34"/>
        <v>1</v>
      </c>
      <c r="BS42" s="68">
        <f t="shared" si="34"/>
        <v>1</v>
      </c>
      <c r="BT42" s="68">
        <f t="shared" si="34"/>
        <v>1</v>
      </c>
      <c r="BU42" s="68">
        <f t="shared" si="34"/>
        <v>1</v>
      </c>
      <c r="BV42" s="68">
        <f t="shared" si="34"/>
        <v>1</v>
      </c>
      <c r="BW42" s="68">
        <f t="shared" si="34"/>
        <v>1</v>
      </c>
      <c r="BX42" s="68">
        <f t="shared" si="34"/>
        <v>1</v>
      </c>
      <c r="BY42" s="68">
        <f t="shared" si="34"/>
        <v>1</v>
      </c>
      <c r="BZ42" s="68">
        <f t="shared" si="34"/>
        <v>1</v>
      </c>
      <c r="CA42" s="68">
        <f t="shared" si="34"/>
        <v>1</v>
      </c>
      <c r="CB42" s="68">
        <f t="shared" si="34"/>
        <v>1</v>
      </c>
      <c r="CC42" s="68">
        <f t="shared" si="34"/>
        <v>1</v>
      </c>
      <c r="CD42" s="68">
        <f t="shared" si="34"/>
        <v>1</v>
      </c>
      <c r="CE42" s="68">
        <f t="shared" si="34"/>
        <v>1</v>
      </c>
      <c r="CF42" s="68">
        <f t="shared" si="34"/>
        <v>1</v>
      </c>
      <c r="CG42" s="68">
        <f t="shared" si="34"/>
        <v>1</v>
      </c>
      <c r="CH42" s="68">
        <f t="shared" si="34"/>
        <v>1</v>
      </c>
      <c r="CI42" s="68">
        <f t="shared" si="34"/>
        <v>1</v>
      </c>
      <c r="CJ42" s="68">
        <f t="shared" si="34"/>
        <v>1</v>
      </c>
      <c r="CK42" s="68">
        <f t="shared" si="34"/>
        <v>1</v>
      </c>
      <c r="CL42" s="68">
        <f t="shared" si="34"/>
        <v>1</v>
      </c>
      <c r="CM42" s="68">
        <f t="shared" si="34"/>
        <v>1</v>
      </c>
      <c r="CN42" s="68">
        <f t="shared" si="34"/>
        <v>1</v>
      </c>
      <c r="CO42" s="68">
        <f t="shared" si="34"/>
        <v>1</v>
      </c>
      <c r="CP42" s="68">
        <f t="shared" si="34"/>
        <v>1</v>
      </c>
      <c r="CQ42" s="68">
        <f t="shared" si="34"/>
        <v>1</v>
      </c>
      <c r="CR42" s="68">
        <f t="shared" si="34"/>
        <v>1</v>
      </c>
      <c r="CS42" s="68">
        <f t="shared" si="34"/>
        <v>1</v>
      </c>
      <c r="CT42" s="68">
        <f t="shared" si="34"/>
        <v>1</v>
      </c>
      <c r="CU42" s="68">
        <f t="shared" si="34"/>
        <v>1</v>
      </c>
    </row>
    <row r="43" spans="1:100" ht="15.75" customHeight="1" outlineLevel="1">
      <c r="A43" s="84"/>
      <c r="B43" s="21"/>
      <c r="C43" s="21" t="s">
        <v>42</v>
      </c>
      <c r="D43" s="68">
        <f t="shared" si="34"/>
        <v>0</v>
      </c>
      <c r="E43" s="68">
        <f t="shared" si="34"/>
        <v>0</v>
      </c>
      <c r="F43" s="68">
        <f t="shared" si="34"/>
        <v>0</v>
      </c>
      <c r="G43" s="68">
        <f t="shared" si="34"/>
        <v>0</v>
      </c>
      <c r="H43" s="68">
        <f t="shared" si="34"/>
        <v>0</v>
      </c>
      <c r="I43" s="68">
        <f t="shared" si="34"/>
        <v>0</v>
      </c>
      <c r="J43" s="68">
        <f t="shared" si="34"/>
        <v>0</v>
      </c>
      <c r="K43" s="68">
        <f t="shared" si="34"/>
        <v>0</v>
      </c>
      <c r="L43" s="68">
        <f t="shared" si="34"/>
        <v>0</v>
      </c>
      <c r="M43" s="68">
        <f t="shared" si="34"/>
        <v>0</v>
      </c>
      <c r="N43" s="68">
        <f t="shared" si="34"/>
        <v>0</v>
      </c>
      <c r="O43" s="68">
        <f t="shared" si="34"/>
        <v>0</v>
      </c>
      <c r="P43" s="68">
        <f t="shared" si="34"/>
        <v>0</v>
      </c>
      <c r="Q43" s="68">
        <f t="shared" si="34"/>
        <v>0</v>
      </c>
      <c r="R43" s="68">
        <f t="shared" si="34"/>
        <v>0</v>
      </c>
      <c r="S43" s="68">
        <f t="shared" si="34"/>
        <v>0</v>
      </c>
      <c r="T43" s="68">
        <f t="shared" si="34"/>
        <v>0</v>
      </c>
      <c r="U43" s="68">
        <f t="shared" si="34"/>
        <v>0</v>
      </c>
      <c r="V43" s="68">
        <f t="shared" si="34"/>
        <v>0</v>
      </c>
      <c r="W43" s="68">
        <f t="shared" si="34"/>
        <v>0</v>
      </c>
      <c r="X43" s="68">
        <f t="shared" si="34"/>
        <v>0</v>
      </c>
      <c r="Y43" s="68">
        <f t="shared" si="34"/>
        <v>0</v>
      </c>
      <c r="Z43" s="68">
        <f t="shared" si="34"/>
        <v>0</v>
      </c>
      <c r="AA43" s="68">
        <f t="shared" si="34"/>
        <v>0</v>
      </c>
      <c r="AB43" s="68">
        <f t="shared" si="34"/>
        <v>0</v>
      </c>
      <c r="AC43" s="68">
        <f t="shared" si="34"/>
        <v>0</v>
      </c>
      <c r="AD43" s="68">
        <f t="shared" si="34"/>
        <v>0</v>
      </c>
      <c r="AE43" s="68">
        <f t="shared" si="34"/>
        <v>0</v>
      </c>
      <c r="AF43" s="68">
        <f t="shared" si="34"/>
        <v>0</v>
      </c>
      <c r="AG43" s="68">
        <f t="shared" si="34"/>
        <v>0</v>
      </c>
      <c r="AH43" s="68">
        <f t="shared" si="34"/>
        <v>0</v>
      </c>
      <c r="AI43" s="68">
        <f t="shared" si="34"/>
        <v>0</v>
      </c>
      <c r="AJ43" s="68">
        <f t="shared" si="34"/>
        <v>0</v>
      </c>
      <c r="AK43" s="68">
        <f t="shared" si="34"/>
        <v>0</v>
      </c>
      <c r="AL43" s="68">
        <f t="shared" si="34"/>
        <v>0</v>
      </c>
      <c r="AM43" s="68">
        <f t="shared" si="34"/>
        <v>0</v>
      </c>
      <c r="AN43" s="68">
        <f t="shared" si="34"/>
        <v>0</v>
      </c>
      <c r="AO43" s="68">
        <f t="shared" si="34"/>
        <v>0</v>
      </c>
      <c r="AP43" s="68">
        <f t="shared" si="34"/>
        <v>0</v>
      </c>
      <c r="AQ43" s="68">
        <f t="shared" si="34"/>
        <v>0</v>
      </c>
      <c r="AR43" s="68">
        <f t="shared" si="34"/>
        <v>0</v>
      </c>
      <c r="AS43" s="68">
        <f t="shared" si="34"/>
        <v>0</v>
      </c>
      <c r="AT43" s="68">
        <f t="shared" si="34"/>
        <v>0</v>
      </c>
      <c r="AU43" s="68">
        <f t="shared" si="34"/>
        <v>0</v>
      </c>
      <c r="AV43" s="68">
        <f t="shared" si="34"/>
        <v>0</v>
      </c>
      <c r="AW43" s="68">
        <f t="shared" si="34"/>
        <v>0</v>
      </c>
      <c r="AX43" s="68">
        <f t="shared" si="34"/>
        <v>0</v>
      </c>
      <c r="AY43" s="68">
        <f t="shared" si="34"/>
        <v>0</v>
      </c>
      <c r="AZ43" s="68">
        <f t="shared" si="34"/>
        <v>0</v>
      </c>
      <c r="BA43" s="68">
        <f t="shared" si="34"/>
        <v>0</v>
      </c>
      <c r="BB43" s="68">
        <f t="shared" si="34"/>
        <v>0</v>
      </c>
      <c r="BC43" s="68">
        <f t="shared" si="34"/>
        <v>0</v>
      </c>
      <c r="BD43" s="68">
        <f t="shared" si="34"/>
        <v>0</v>
      </c>
      <c r="BE43" s="68">
        <f t="shared" si="34"/>
        <v>0</v>
      </c>
      <c r="BF43" s="68">
        <f t="shared" si="34"/>
        <v>0</v>
      </c>
      <c r="BG43" s="68">
        <f t="shared" si="34"/>
        <v>0</v>
      </c>
      <c r="BH43" s="68">
        <f t="shared" si="34"/>
        <v>0</v>
      </c>
      <c r="BI43" s="68">
        <f t="shared" si="34"/>
        <v>0</v>
      </c>
      <c r="BJ43" s="68">
        <f t="shared" si="34"/>
        <v>0</v>
      </c>
      <c r="BK43" s="68">
        <f t="shared" si="34"/>
        <v>0</v>
      </c>
      <c r="BL43" s="68">
        <f t="shared" si="34"/>
        <v>1</v>
      </c>
      <c r="BM43" s="68">
        <f t="shared" si="34"/>
        <v>1</v>
      </c>
      <c r="BN43" s="68">
        <f t="shared" si="34"/>
        <v>1</v>
      </c>
      <c r="BO43" s="68">
        <f t="shared" ref="BO43:CU43" si="35">BO102</f>
        <v>1</v>
      </c>
      <c r="BP43" s="68">
        <f t="shared" si="35"/>
        <v>1</v>
      </c>
      <c r="BQ43" s="68">
        <f t="shared" si="35"/>
        <v>1</v>
      </c>
      <c r="BR43" s="68">
        <f t="shared" si="35"/>
        <v>1</v>
      </c>
      <c r="BS43" s="68">
        <f t="shared" si="35"/>
        <v>1</v>
      </c>
      <c r="BT43" s="68">
        <f t="shared" si="35"/>
        <v>1</v>
      </c>
      <c r="BU43" s="68">
        <f t="shared" si="35"/>
        <v>1</v>
      </c>
      <c r="BV43" s="68">
        <f t="shared" si="35"/>
        <v>1</v>
      </c>
      <c r="BW43" s="68">
        <f t="shared" si="35"/>
        <v>1</v>
      </c>
      <c r="BX43" s="68">
        <f t="shared" si="35"/>
        <v>1</v>
      </c>
      <c r="BY43" s="68">
        <f t="shared" si="35"/>
        <v>1</v>
      </c>
      <c r="BZ43" s="68">
        <f t="shared" si="35"/>
        <v>1</v>
      </c>
      <c r="CA43" s="68">
        <f t="shared" si="35"/>
        <v>1</v>
      </c>
      <c r="CB43" s="68">
        <f t="shared" si="35"/>
        <v>1</v>
      </c>
      <c r="CC43" s="68">
        <f t="shared" si="35"/>
        <v>1</v>
      </c>
      <c r="CD43" s="68">
        <f t="shared" si="35"/>
        <v>1</v>
      </c>
      <c r="CE43" s="68">
        <f t="shared" si="35"/>
        <v>1</v>
      </c>
      <c r="CF43" s="68">
        <f t="shared" si="35"/>
        <v>1</v>
      </c>
      <c r="CG43" s="68">
        <f t="shared" si="35"/>
        <v>1</v>
      </c>
      <c r="CH43" s="68">
        <f t="shared" si="35"/>
        <v>1</v>
      </c>
      <c r="CI43" s="68">
        <f t="shared" si="35"/>
        <v>1</v>
      </c>
      <c r="CJ43" s="68">
        <f t="shared" si="35"/>
        <v>1</v>
      </c>
      <c r="CK43" s="68">
        <f t="shared" si="35"/>
        <v>1</v>
      </c>
      <c r="CL43" s="68">
        <f t="shared" si="35"/>
        <v>1</v>
      </c>
      <c r="CM43" s="68">
        <f t="shared" si="35"/>
        <v>1</v>
      </c>
      <c r="CN43" s="68">
        <f t="shared" si="35"/>
        <v>1</v>
      </c>
      <c r="CO43" s="68">
        <f t="shared" si="35"/>
        <v>1</v>
      </c>
      <c r="CP43" s="68">
        <f t="shared" si="35"/>
        <v>1</v>
      </c>
      <c r="CQ43" s="68">
        <f t="shared" si="35"/>
        <v>1</v>
      </c>
      <c r="CR43" s="68">
        <f t="shared" si="35"/>
        <v>1</v>
      </c>
      <c r="CS43" s="68">
        <f t="shared" si="35"/>
        <v>1</v>
      </c>
      <c r="CT43" s="68">
        <f t="shared" si="35"/>
        <v>1</v>
      </c>
      <c r="CU43" s="68">
        <f t="shared" si="35"/>
        <v>1</v>
      </c>
    </row>
    <row r="44" spans="1:100" ht="15.75" customHeight="1" outlineLevel="1">
      <c r="A44" s="84"/>
      <c r="B44" s="21"/>
      <c r="C44" s="21" t="s">
        <v>29</v>
      </c>
      <c r="D44" s="68">
        <f t="shared" ref="D44:CU44" si="36">D103</f>
        <v>0</v>
      </c>
      <c r="E44" s="68">
        <f t="shared" si="36"/>
        <v>0</v>
      </c>
      <c r="F44" s="68">
        <f t="shared" si="36"/>
        <v>0</v>
      </c>
      <c r="G44" s="68">
        <f t="shared" si="36"/>
        <v>0</v>
      </c>
      <c r="H44" s="68">
        <f t="shared" si="36"/>
        <v>0</v>
      </c>
      <c r="I44" s="68">
        <f t="shared" si="36"/>
        <v>0</v>
      </c>
      <c r="J44" s="68">
        <f t="shared" si="36"/>
        <v>0</v>
      </c>
      <c r="K44" s="68">
        <f t="shared" si="36"/>
        <v>0</v>
      </c>
      <c r="L44" s="68">
        <f t="shared" si="36"/>
        <v>0</v>
      </c>
      <c r="M44" s="68">
        <f t="shared" si="36"/>
        <v>0</v>
      </c>
      <c r="N44" s="68">
        <f t="shared" si="36"/>
        <v>0</v>
      </c>
      <c r="O44" s="68">
        <f t="shared" si="36"/>
        <v>0</v>
      </c>
      <c r="P44" s="68">
        <f t="shared" si="36"/>
        <v>0</v>
      </c>
      <c r="Q44" s="68">
        <f t="shared" si="36"/>
        <v>0</v>
      </c>
      <c r="R44" s="68">
        <f t="shared" si="36"/>
        <v>0</v>
      </c>
      <c r="S44" s="68">
        <f t="shared" si="36"/>
        <v>0</v>
      </c>
      <c r="T44" s="68">
        <f t="shared" si="36"/>
        <v>0</v>
      </c>
      <c r="U44" s="68">
        <f t="shared" si="36"/>
        <v>0</v>
      </c>
      <c r="V44" s="68">
        <f t="shared" si="36"/>
        <v>0</v>
      </c>
      <c r="W44" s="68">
        <f t="shared" si="36"/>
        <v>0</v>
      </c>
      <c r="X44" s="68">
        <f t="shared" si="36"/>
        <v>0</v>
      </c>
      <c r="Y44" s="68">
        <f t="shared" si="36"/>
        <v>0</v>
      </c>
      <c r="Z44" s="68">
        <f t="shared" si="36"/>
        <v>0</v>
      </c>
      <c r="AA44" s="68">
        <f t="shared" si="36"/>
        <v>0</v>
      </c>
      <c r="AB44" s="68">
        <f t="shared" si="36"/>
        <v>0</v>
      </c>
      <c r="AC44" s="68">
        <f t="shared" si="36"/>
        <v>0</v>
      </c>
      <c r="AD44" s="68">
        <f t="shared" si="36"/>
        <v>0</v>
      </c>
      <c r="AE44" s="68">
        <f t="shared" si="36"/>
        <v>0</v>
      </c>
      <c r="AF44" s="68">
        <f t="shared" si="36"/>
        <v>0</v>
      </c>
      <c r="AG44" s="68">
        <f t="shared" si="36"/>
        <v>0</v>
      </c>
      <c r="AH44" s="68">
        <f t="shared" si="36"/>
        <v>0</v>
      </c>
      <c r="AI44" s="68">
        <f t="shared" si="36"/>
        <v>0</v>
      </c>
      <c r="AJ44" s="68">
        <f t="shared" si="36"/>
        <v>0</v>
      </c>
      <c r="AK44" s="68">
        <f t="shared" si="36"/>
        <v>0</v>
      </c>
      <c r="AL44" s="68">
        <f t="shared" si="36"/>
        <v>0</v>
      </c>
      <c r="AM44" s="68">
        <f t="shared" si="36"/>
        <v>0</v>
      </c>
      <c r="AN44" s="68">
        <f t="shared" si="36"/>
        <v>0</v>
      </c>
      <c r="AO44" s="68">
        <f t="shared" si="36"/>
        <v>0</v>
      </c>
      <c r="AP44" s="68">
        <f t="shared" si="36"/>
        <v>0</v>
      </c>
      <c r="AQ44" s="68">
        <f t="shared" si="36"/>
        <v>0</v>
      </c>
      <c r="AR44" s="68">
        <f t="shared" si="36"/>
        <v>0</v>
      </c>
      <c r="AS44" s="68">
        <f t="shared" si="36"/>
        <v>0</v>
      </c>
      <c r="AT44" s="68">
        <f t="shared" si="36"/>
        <v>0</v>
      </c>
      <c r="AU44" s="68">
        <f t="shared" si="36"/>
        <v>0</v>
      </c>
      <c r="AV44" s="68">
        <f t="shared" si="36"/>
        <v>0</v>
      </c>
      <c r="AW44" s="68">
        <f t="shared" si="36"/>
        <v>0</v>
      </c>
      <c r="AX44" s="68">
        <f t="shared" si="36"/>
        <v>1</v>
      </c>
      <c r="AY44" s="68">
        <f t="shared" si="36"/>
        <v>1</v>
      </c>
      <c r="AZ44" s="68">
        <f t="shared" si="36"/>
        <v>1</v>
      </c>
      <c r="BA44" s="68">
        <f t="shared" si="36"/>
        <v>1</v>
      </c>
      <c r="BB44" s="68">
        <f t="shared" si="36"/>
        <v>1</v>
      </c>
      <c r="BC44" s="68">
        <f t="shared" si="36"/>
        <v>2</v>
      </c>
      <c r="BD44" s="68">
        <f t="shared" si="36"/>
        <v>2</v>
      </c>
      <c r="BE44" s="68">
        <f t="shared" si="36"/>
        <v>2</v>
      </c>
      <c r="BF44" s="68">
        <f t="shared" si="36"/>
        <v>2</v>
      </c>
      <c r="BG44" s="68">
        <f t="shared" si="36"/>
        <v>2</v>
      </c>
      <c r="BH44" s="68">
        <f t="shared" si="36"/>
        <v>2</v>
      </c>
      <c r="BI44" s="68">
        <f t="shared" si="36"/>
        <v>2</v>
      </c>
      <c r="BJ44" s="68">
        <f t="shared" si="36"/>
        <v>2</v>
      </c>
      <c r="BK44" s="68">
        <f t="shared" si="36"/>
        <v>2</v>
      </c>
      <c r="BL44" s="68">
        <f t="shared" si="36"/>
        <v>2</v>
      </c>
      <c r="BM44" s="68">
        <f t="shared" si="36"/>
        <v>2</v>
      </c>
      <c r="BN44" s="68">
        <f t="shared" si="36"/>
        <v>2</v>
      </c>
      <c r="BO44" s="68">
        <f t="shared" si="36"/>
        <v>2</v>
      </c>
      <c r="BP44" s="68">
        <f t="shared" si="36"/>
        <v>2</v>
      </c>
      <c r="BQ44" s="68">
        <f t="shared" si="36"/>
        <v>2</v>
      </c>
      <c r="BR44" s="68">
        <f t="shared" si="36"/>
        <v>2</v>
      </c>
      <c r="BS44" s="68">
        <f t="shared" si="36"/>
        <v>2</v>
      </c>
      <c r="BT44" s="68">
        <f t="shared" si="36"/>
        <v>2</v>
      </c>
      <c r="BU44" s="68">
        <f t="shared" si="36"/>
        <v>2</v>
      </c>
      <c r="BV44" s="68">
        <f t="shared" si="36"/>
        <v>2</v>
      </c>
      <c r="BW44" s="68">
        <f t="shared" si="36"/>
        <v>2</v>
      </c>
      <c r="BX44" s="68">
        <f t="shared" si="36"/>
        <v>2</v>
      </c>
      <c r="BY44" s="68">
        <f t="shared" si="36"/>
        <v>2</v>
      </c>
      <c r="BZ44" s="68">
        <f t="shared" si="36"/>
        <v>2</v>
      </c>
      <c r="CA44" s="68">
        <f t="shared" si="36"/>
        <v>2</v>
      </c>
      <c r="CB44" s="68">
        <f t="shared" si="36"/>
        <v>2</v>
      </c>
      <c r="CC44" s="68">
        <f t="shared" si="36"/>
        <v>2</v>
      </c>
      <c r="CD44" s="68">
        <f t="shared" si="36"/>
        <v>2</v>
      </c>
      <c r="CE44" s="68">
        <f t="shared" si="36"/>
        <v>2</v>
      </c>
      <c r="CF44" s="68">
        <f t="shared" si="36"/>
        <v>2</v>
      </c>
      <c r="CG44" s="68">
        <f t="shared" si="36"/>
        <v>2</v>
      </c>
      <c r="CH44" s="68">
        <f t="shared" si="36"/>
        <v>2</v>
      </c>
      <c r="CI44" s="68">
        <f t="shared" si="36"/>
        <v>2</v>
      </c>
      <c r="CJ44" s="68">
        <f t="shared" si="36"/>
        <v>2</v>
      </c>
      <c r="CK44" s="68">
        <f t="shared" si="36"/>
        <v>2</v>
      </c>
      <c r="CL44" s="68">
        <f t="shared" si="36"/>
        <v>2</v>
      </c>
      <c r="CM44" s="68">
        <f t="shared" si="36"/>
        <v>2</v>
      </c>
      <c r="CN44" s="68">
        <f t="shared" si="36"/>
        <v>2</v>
      </c>
      <c r="CO44" s="68">
        <f t="shared" si="36"/>
        <v>2</v>
      </c>
      <c r="CP44" s="68">
        <f t="shared" si="36"/>
        <v>2</v>
      </c>
      <c r="CQ44" s="68">
        <f t="shared" si="36"/>
        <v>2</v>
      </c>
      <c r="CR44" s="68">
        <f t="shared" si="36"/>
        <v>2</v>
      </c>
      <c r="CS44" s="68">
        <f t="shared" si="36"/>
        <v>2</v>
      </c>
      <c r="CT44" s="68">
        <f t="shared" si="36"/>
        <v>2</v>
      </c>
      <c r="CU44" s="68">
        <f t="shared" si="36"/>
        <v>2</v>
      </c>
    </row>
    <row r="45" spans="1:100" s="265" customFormat="1" ht="15.75" customHeight="1" outlineLevel="1">
      <c r="A45" s="84"/>
      <c r="B45" s="21"/>
      <c r="C45" s="84" t="s">
        <v>384</v>
      </c>
      <c r="D45" s="68">
        <f t="shared" ref="D45:BO45" si="37">D104</f>
        <v>0</v>
      </c>
      <c r="E45" s="68">
        <f t="shared" si="37"/>
        <v>0</v>
      </c>
      <c r="F45" s="68">
        <f t="shared" si="37"/>
        <v>0</v>
      </c>
      <c r="G45" s="68">
        <f t="shared" si="37"/>
        <v>0</v>
      </c>
      <c r="H45" s="68">
        <f t="shared" si="37"/>
        <v>0</v>
      </c>
      <c r="I45" s="68">
        <f t="shared" si="37"/>
        <v>0</v>
      </c>
      <c r="J45" s="68">
        <f t="shared" si="37"/>
        <v>0</v>
      </c>
      <c r="K45" s="68">
        <f t="shared" si="37"/>
        <v>0</v>
      </c>
      <c r="L45" s="68">
        <f t="shared" si="37"/>
        <v>0</v>
      </c>
      <c r="M45" s="68">
        <f t="shared" si="37"/>
        <v>0</v>
      </c>
      <c r="N45" s="68">
        <f t="shared" si="37"/>
        <v>0</v>
      </c>
      <c r="O45" s="68">
        <f t="shared" si="37"/>
        <v>0</v>
      </c>
      <c r="P45" s="68">
        <f t="shared" si="37"/>
        <v>0</v>
      </c>
      <c r="Q45" s="68">
        <f t="shared" si="37"/>
        <v>0</v>
      </c>
      <c r="R45" s="68">
        <f t="shared" si="37"/>
        <v>0</v>
      </c>
      <c r="S45" s="68">
        <f t="shared" si="37"/>
        <v>0</v>
      </c>
      <c r="T45" s="68">
        <f t="shared" si="37"/>
        <v>0</v>
      </c>
      <c r="U45" s="68">
        <f t="shared" si="37"/>
        <v>0</v>
      </c>
      <c r="V45" s="68">
        <f t="shared" si="37"/>
        <v>0</v>
      </c>
      <c r="W45" s="68">
        <f t="shared" si="37"/>
        <v>0</v>
      </c>
      <c r="X45" s="68">
        <f t="shared" si="37"/>
        <v>0</v>
      </c>
      <c r="Y45" s="68">
        <f t="shared" si="37"/>
        <v>0</v>
      </c>
      <c r="Z45" s="68">
        <f t="shared" si="37"/>
        <v>0</v>
      </c>
      <c r="AA45" s="68">
        <f t="shared" si="37"/>
        <v>0</v>
      </c>
      <c r="AB45" s="68">
        <f t="shared" si="37"/>
        <v>0</v>
      </c>
      <c r="AC45" s="68">
        <f t="shared" si="37"/>
        <v>0</v>
      </c>
      <c r="AD45" s="68">
        <f t="shared" si="37"/>
        <v>0</v>
      </c>
      <c r="AE45" s="68">
        <f t="shared" si="37"/>
        <v>0</v>
      </c>
      <c r="AF45" s="68">
        <f t="shared" si="37"/>
        <v>0</v>
      </c>
      <c r="AG45" s="68">
        <f t="shared" si="37"/>
        <v>0</v>
      </c>
      <c r="AH45" s="68">
        <f t="shared" si="37"/>
        <v>0</v>
      </c>
      <c r="AI45" s="68">
        <f t="shared" si="37"/>
        <v>0</v>
      </c>
      <c r="AJ45" s="68">
        <f t="shared" si="37"/>
        <v>0</v>
      </c>
      <c r="AK45" s="68">
        <f t="shared" si="37"/>
        <v>0</v>
      </c>
      <c r="AL45" s="68">
        <f t="shared" si="37"/>
        <v>0</v>
      </c>
      <c r="AM45" s="68">
        <f t="shared" si="37"/>
        <v>0</v>
      </c>
      <c r="AN45" s="68">
        <f t="shared" si="37"/>
        <v>0</v>
      </c>
      <c r="AO45" s="68">
        <f t="shared" si="37"/>
        <v>0</v>
      </c>
      <c r="AP45" s="68">
        <f t="shared" si="37"/>
        <v>0</v>
      </c>
      <c r="AQ45" s="68">
        <f t="shared" si="37"/>
        <v>0</v>
      </c>
      <c r="AR45" s="68">
        <f t="shared" si="37"/>
        <v>0</v>
      </c>
      <c r="AS45" s="68">
        <f t="shared" si="37"/>
        <v>0</v>
      </c>
      <c r="AT45" s="68">
        <f t="shared" si="37"/>
        <v>0</v>
      </c>
      <c r="AU45" s="68">
        <f t="shared" si="37"/>
        <v>0</v>
      </c>
      <c r="AV45" s="68">
        <f t="shared" si="37"/>
        <v>0</v>
      </c>
      <c r="AW45" s="68">
        <f t="shared" si="37"/>
        <v>0</v>
      </c>
      <c r="AX45" s="68">
        <f t="shared" si="37"/>
        <v>0</v>
      </c>
      <c r="AY45" s="68">
        <f t="shared" si="37"/>
        <v>0</v>
      </c>
      <c r="AZ45" s="68">
        <f t="shared" si="37"/>
        <v>0</v>
      </c>
      <c r="BA45" s="68">
        <f t="shared" si="37"/>
        <v>0</v>
      </c>
      <c r="BB45" s="68">
        <f t="shared" si="37"/>
        <v>0</v>
      </c>
      <c r="BC45" s="68">
        <f t="shared" si="37"/>
        <v>1</v>
      </c>
      <c r="BD45" s="68">
        <f t="shared" si="37"/>
        <v>1</v>
      </c>
      <c r="BE45" s="68">
        <f t="shared" si="37"/>
        <v>1</v>
      </c>
      <c r="BF45" s="68">
        <f t="shared" si="37"/>
        <v>1</v>
      </c>
      <c r="BG45" s="68">
        <f t="shared" si="37"/>
        <v>1</v>
      </c>
      <c r="BH45" s="68">
        <f t="shared" si="37"/>
        <v>1</v>
      </c>
      <c r="BI45" s="68">
        <f t="shared" si="37"/>
        <v>1</v>
      </c>
      <c r="BJ45" s="68">
        <f t="shared" si="37"/>
        <v>1</v>
      </c>
      <c r="BK45" s="68">
        <f t="shared" si="37"/>
        <v>1</v>
      </c>
      <c r="BL45" s="68">
        <f t="shared" si="37"/>
        <v>1</v>
      </c>
      <c r="BM45" s="68">
        <f t="shared" si="37"/>
        <v>1</v>
      </c>
      <c r="BN45" s="68">
        <f t="shared" si="37"/>
        <v>1</v>
      </c>
      <c r="BO45" s="68">
        <f t="shared" si="37"/>
        <v>1</v>
      </c>
      <c r="BP45" s="68">
        <f t="shared" ref="BP45:BV45" si="38">BP104</f>
        <v>1</v>
      </c>
      <c r="BQ45" s="68">
        <f t="shared" si="38"/>
        <v>1</v>
      </c>
      <c r="BR45" s="68">
        <f t="shared" si="38"/>
        <v>1</v>
      </c>
      <c r="BS45" s="68">
        <f t="shared" si="38"/>
        <v>1</v>
      </c>
      <c r="BT45" s="68">
        <f t="shared" si="38"/>
        <v>1</v>
      </c>
      <c r="BU45" s="68">
        <f t="shared" si="38"/>
        <v>1</v>
      </c>
      <c r="BV45" s="68">
        <f t="shared" si="38"/>
        <v>1</v>
      </c>
      <c r="BW45" s="68">
        <f t="shared" ref="BW45:CU45" si="39">BW104</f>
        <v>1</v>
      </c>
      <c r="BX45" s="68">
        <f t="shared" si="39"/>
        <v>1</v>
      </c>
      <c r="BY45" s="68">
        <f t="shared" si="39"/>
        <v>1</v>
      </c>
      <c r="BZ45" s="68">
        <f t="shared" si="39"/>
        <v>1</v>
      </c>
      <c r="CA45" s="68">
        <f t="shared" si="39"/>
        <v>1</v>
      </c>
      <c r="CB45" s="68">
        <f t="shared" si="39"/>
        <v>1</v>
      </c>
      <c r="CC45" s="68">
        <f t="shared" si="39"/>
        <v>1</v>
      </c>
      <c r="CD45" s="68">
        <f t="shared" si="39"/>
        <v>1</v>
      </c>
      <c r="CE45" s="68">
        <f t="shared" si="39"/>
        <v>1</v>
      </c>
      <c r="CF45" s="68">
        <f t="shared" si="39"/>
        <v>1</v>
      </c>
      <c r="CG45" s="68">
        <f t="shared" si="39"/>
        <v>1</v>
      </c>
      <c r="CH45" s="68">
        <f t="shared" si="39"/>
        <v>1</v>
      </c>
      <c r="CI45" s="68">
        <f t="shared" si="39"/>
        <v>1</v>
      </c>
      <c r="CJ45" s="68">
        <f t="shared" si="39"/>
        <v>1</v>
      </c>
      <c r="CK45" s="68">
        <f t="shared" si="39"/>
        <v>1</v>
      </c>
      <c r="CL45" s="68">
        <f t="shared" si="39"/>
        <v>1</v>
      </c>
      <c r="CM45" s="68">
        <f t="shared" si="39"/>
        <v>1</v>
      </c>
      <c r="CN45" s="68">
        <f t="shared" si="39"/>
        <v>1</v>
      </c>
      <c r="CO45" s="68">
        <f t="shared" si="39"/>
        <v>1</v>
      </c>
      <c r="CP45" s="68">
        <f t="shared" si="39"/>
        <v>1</v>
      </c>
      <c r="CQ45" s="68">
        <f t="shared" si="39"/>
        <v>1</v>
      </c>
      <c r="CR45" s="68">
        <f t="shared" si="39"/>
        <v>1</v>
      </c>
      <c r="CS45" s="68">
        <f t="shared" si="39"/>
        <v>1</v>
      </c>
      <c r="CT45" s="68">
        <f t="shared" si="39"/>
        <v>1</v>
      </c>
      <c r="CU45" s="68">
        <f t="shared" si="39"/>
        <v>1</v>
      </c>
    </row>
    <row r="46" spans="1:100" s="265" customFormat="1" ht="15.75" customHeight="1" outlineLevel="1">
      <c r="A46" s="84"/>
      <c r="B46" s="21"/>
      <c r="C46" s="84" t="s">
        <v>385</v>
      </c>
      <c r="D46" s="68">
        <f t="shared" ref="D46:BO46" si="40">D105</f>
        <v>0</v>
      </c>
      <c r="E46" s="68">
        <f t="shared" si="40"/>
        <v>0</v>
      </c>
      <c r="F46" s="68">
        <f t="shared" si="40"/>
        <v>0</v>
      </c>
      <c r="G46" s="68">
        <f t="shared" si="40"/>
        <v>0</v>
      </c>
      <c r="H46" s="68">
        <f t="shared" si="40"/>
        <v>0</v>
      </c>
      <c r="I46" s="68">
        <f t="shared" si="40"/>
        <v>0</v>
      </c>
      <c r="J46" s="68">
        <f t="shared" si="40"/>
        <v>0</v>
      </c>
      <c r="K46" s="68">
        <f t="shared" si="40"/>
        <v>0</v>
      </c>
      <c r="L46" s="68">
        <f t="shared" si="40"/>
        <v>0</v>
      </c>
      <c r="M46" s="68">
        <f t="shared" si="40"/>
        <v>0</v>
      </c>
      <c r="N46" s="68">
        <f t="shared" si="40"/>
        <v>0</v>
      </c>
      <c r="O46" s="68">
        <f t="shared" si="40"/>
        <v>0</v>
      </c>
      <c r="P46" s="68">
        <f t="shared" si="40"/>
        <v>0</v>
      </c>
      <c r="Q46" s="68">
        <f t="shared" si="40"/>
        <v>0</v>
      </c>
      <c r="R46" s="68">
        <f t="shared" si="40"/>
        <v>0</v>
      </c>
      <c r="S46" s="68">
        <f t="shared" si="40"/>
        <v>0</v>
      </c>
      <c r="T46" s="68">
        <f t="shared" si="40"/>
        <v>0</v>
      </c>
      <c r="U46" s="68">
        <f t="shared" si="40"/>
        <v>0</v>
      </c>
      <c r="V46" s="68">
        <f t="shared" si="40"/>
        <v>0</v>
      </c>
      <c r="W46" s="68">
        <f t="shared" si="40"/>
        <v>0</v>
      </c>
      <c r="X46" s="68">
        <f t="shared" si="40"/>
        <v>0</v>
      </c>
      <c r="Y46" s="68">
        <f t="shared" si="40"/>
        <v>0</v>
      </c>
      <c r="Z46" s="68">
        <f t="shared" si="40"/>
        <v>0</v>
      </c>
      <c r="AA46" s="68">
        <f t="shared" si="40"/>
        <v>0</v>
      </c>
      <c r="AB46" s="68">
        <f t="shared" si="40"/>
        <v>0</v>
      </c>
      <c r="AC46" s="68">
        <f t="shared" si="40"/>
        <v>0</v>
      </c>
      <c r="AD46" s="68">
        <f t="shared" si="40"/>
        <v>0</v>
      </c>
      <c r="AE46" s="68">
        <f t="shared" si="40"/>
        <v>0</v>
      </c>
      <c r="AF46" s="68">
        <f t="shared" si="40"/>
        <v>0</v>
      </c>
      <c r="AG46" s="68">
        <f t="shared" si="40"/>
        <v>0</v>
      </c>
      <c r="AH46" s="68">
        <f t="shared" si="40"/>
        <v>0</v>
      </c>
      <c r="AI46" s="68">
        <f t="shared" si="40"/>
        <v>0</v>
      </c>
      <c r="AJ46" s="68">
        <f t="shared" si="40"/>
        <v>0</v>
      </c>
      <c r="AK46" s="68">
        <f t="shared" si="40"/>
        <v>0</v>
      </c>
      <c r="AL46" s="68">
        <f t="shared" si="40"/>
        <v>0</v>
      </c>
      <c r="AM46" s="68">
        <f t="shared" si="40"/>
        <v>0</v>
      </c>
      <c r="AN46" s="68">
        <f t="shared" si="40"/>
        <v>0</v>
      </c>
      <c r="AO46" s="68">
        <f t="shared" si="40"/>
        <v>0</v>
      </c>
      <c r="AP46" s="68">
        <f t="shared" si="40"/>
        <v>0</v>
      </c>
      <c r="AQ46" s="68">
        <f t="shared" si="40"/>
        <v>0</v>
      </c>
      <c r="AR46" s="68">
        <f t="shared" si="40"/>
        <v>0</v>
      </c>
      <c r="AS46" s="68">
        <f t="shared" si="40"/>
        <v>0</v>
      </c>
      <c r="AT46" s="68">
        <f t="shared" si="40"/>
        <v>0</v>
      </c>
      <c r="AU46" s="68">
        <f t="shared" si="40"/>
        <v>0</v>
      </c>
      <c r="AV46" s="68">
        <f t="shared" si="40"/>
        <v>0</v>
      </c>
      <c r="AW46" s="68">
        <f t="shared" si="40"/>
        <v>0</v>
      </c>
      <c r="AX46" s="68">
        <f t="shared" si="40"/>
        <v>0</v>
      </c>
      <c r="AY46" s="68">
        <f t="shared" si="40"/>
        <v>0</v>
      </c>
      <c r="AZ46" s="68">
        <f t="shared" si="40"/>
        <v>0</v>
      </c>
      <c r="BA46" s="68">
        <f t="shared" si="40"/>
        <v>0</v>
      </c>
      <c r="BB46" s="68">
        <f t="shared" si="40"/>
        <v>0</v>
      </c>
      <c r="BC46" s="68">
        <f t="shared" si="40"/>
        <v>1</v>
      </c>
      <c r="BD46" s="68">
        <f t="shared" si="40"/>
        <v>1</v>
      </c>
      <c r="BE46" s="68">
        <f t="shared" si="40"/>
        <v>1</v>
      </c>
      <c r="BF46" s="68">
        <f t="shared" si="40"/>
        <v>1</v>
      </c>
      <c r="BG46" s="68">
        <f t="shared" si="40"/>
        <v>1</v>
      </c>
      <c r="BH46" s="68">
        <f t="shared" si="40"/>
        <v>1</v>
      </c>
      <c r="BI46" s="68">
        <f t="shared" si="40"/>
        <v>1</v>
      </c>
      <c r="BJ46" s="68">
        <f t="shared" si="40"/>
        <v>1</v>
      </c>
      <c r="BK46" s="68">
        <f t="shared" si="40"/>
        <v>1</v>
      </c>
      <c r="BL46" s="68">
        <f t="shared" si="40"/>
        <v>1</v>
      </c>
      <c r="BM46" s="68">
        <f t="shared" si="40"/>
        <v>1</v>
      </c>
      <c r="BN46" s="68">
        <f t="shared" si="40"/>
        <v>1</v>
      </c>
      <c r="BO46" s="68">
        <f t="shared" si="40"/>
        <v>1</v>
      </c>
      <c r="BP46" s="68">
        <f t="shared" ref="BP46:BV46" si="41">BP105</f>
        <v>1</v>
      </c>
      <c r="BQ46" s="68">
        <f t="shared" si="41"/>
        <v>1</v>
      </c>
      <c r="BR46" s="68">
        <f t="shared" si="41"/>
        <v>1</v>
      </c>
      <c r="BS46" s="68">
        <f t="shared" si="41"/>
        <v>1</v>
      </c>
      <c r="BT46" s="68">
        <f t="shared" si="41"/>
        <v>1</v>
      </c>
      <c r="BU46" s="68">
        <f t="shared" si="41"/>
        <v>1</v>
      </c>
      <c r="BV46" s="68">
        <f t="shared" si="41"/>
        <v>1</v>
      </c>
      <c r="BW46" s="68">
        <f t="shared" ref="BW46:CU48" si="42">BW105</f>
        <v>1</v>
      </c>
      <c r="BX46" s="68">
        <f t="shared" si="42"/>
        <v>1</v>
      </c>
      <c r="BY46" s="68">
        <f t="shared" si="42"/>
        <v>1</v>
      </c>
      <c r="BZ46" s="68">
        <f t="shared" si="42"/>
        <v>1</v>
      </c>
      <c r="CA46" s="68">
        <f t="shared" si="42"/>
        <v>1</v>
      </c>
      <c r="CB46" s="68">
        <f t="shared" si="42"/>
        <v>1</v>
      </c>
      <c r="CC46" s="68">
        <f t="shared" si="42"/>
        <v>1</v>
      </c>
      <c r="CD46" s="68">
        <f t="shared" si="42"/>
        <v>1</v>
      </c>
      <c r="CE46" s="68">
        <f t="shared" si="42"/>
        <v>1</v>
      </c>
      <c r="CF46" s="68">
        <f t="shared" si="42"/>
        <v>1</v>
      </c>
      <c r="CG46" s="68">
        <f t="shared" si="42"/>
        <v>1</v>
      </c>
      <c r="CH46" s="68">
        <f t="shared" si="42"/>
        <v>1</v>
      </c>
      <c r="CI46" s="68">
        <f t="shared" si="42"/>
        <v>1</v>
      </c>
      <c r="CJ46" s="68">
        <f t="shared" si="42"/>
        <v>1</v>
      </c>
      <c r="CK46" s="68">
        <f t="shared" si="42"/>
        <v>1</v>
      </c>
      <c r="CL46" s="68">
        <f t="shared" si="42"/>
        <v>1</v>
      </c>
      <c r="CM46" s="68">
        <f t="shared" si="42"/>
        <v>1</v>
      </c>
      <c r="CN46" s="68">
        <f t="shared" si="42"/>
        <v>1</v>
      </c>
      <c r="CO46" s="68">
        <f t="shared" si="42"/>
        <v>1</v>
      </c>
      <c r="CP46" s="68">
        <f t="shared" si="42"/>
        <v>1</v>
      </c>
      <c r="CQ46" s="68">
        <f t="shared" si="42"/>
        <v>1</v>
      </c>
      <c r="CR46" s="68">
        <f t="shared" si="42"/>
        <v>1</v>
      </c>
      <c r="CS46" s="68">
        <f t="shared" si="42"/>
        <v>1</v>
      </c>
      <c r="CT46" s="68">
        <f t="shared" si="42"/>
        <v>1</v>
      </c>
      <c r="CU46" s="68">
        <f t="shared" si="42"/>
        <v>1</v>
      </c>
    </row>
    <row r="47" spans="1:100" s="265" customFormat="1" ht="15.75" customHeight="1" outlineLevel="1">
      <c r="A47" s="84"/>
      <c r="B47" s="21"/>
      <c r="C47" s="84" t="s">
        <v>386</v>
      </c>
      <c r="D47" s="68">
        <f t="shared" ref="D47:BO47" si="43">D106</f>
        <v>0</v>
      </c>
      <c r="E47" s="68">
        <f t="shared" si="43"/>
        <v>0</v>
      </c>
      <c r="F47" s="68">
        <f t="shared" si="43"/>
        <v>0</v>
      </c>
      <c r="G47" s="68">
        <f t="shared" si="43"/>
        <v>0</v>
      </c>
      <c r="H47" s="68">
        <f t="shared" si="43"/>
        <v>0</v>
      </c>
      <c r="I47" s="68">
        <f t="shared" si="43"/>
        <v>0</v>
      </c>
      <c r="J47" s="68">
        <f t="shared" si="43"/>
        <v>0</v>
      </c>
      <c r="K47" s="68">
        <f t="shared" si="43"/>
        <v>0</v>
      </c>
      <c r="L47" s="68">
        <f t="shared" si="43"/>
        <v>0</v>
      </c>
      <c r="M47" s="68">
        <f t="shared" si="43"/>
        <v>0</v>
      </c>
      <c r="N47" s="68">
        <f t="shared" si="43"/>
        <v>0</v>
      </c>
      <c r="O47" s="68">
        <f t="shared" si="43"/>
        <v>0</v>
      </c>
      <c r="P47" s="68">
        <f t="shared" si="43"/>
        <v>0</v>
      </c>
      <c r="Q47" s="68">
        <f t="shared" si="43"/>
        <v>0</v>
      </c>
      <c r="R47" s="68">
        <f t="shared" si="43"/>
        <v>0</v>
      </c>
      <c r="S47" s="68">
        <f t="shared" si="43"/>
        <v>0</v>
      </c>
      <c r="T47" s="68">
        <f t="shared" si="43"/>
        <v>0</v>
      </c>
      <c r="U47" s="68">
        <f t="shared" si="43"/>
        <v>0</v>
      </c>
      <c r="V47" s="68">
        <f t="shared" si="43"/>
        <v>0</v>
      </c>
      <c r="W47" s="68">
        <f t="shared" si="43"/>
        <v>0</v>
      </c>
      <c r="X47" s="68">
        <f t="shared" si="43"/>
        <v>0</v>
      </c>
      <c r="Y47" s="68">
        <f t="shared" si="43"/>
        <v>0</v>
      </c>
      <c r="Z47" s="68">
        <f t="shared" si="43"/>
        <v>0</v>
      </c>
      <c r="AA47" s="68">
        <f t="shared" si="43"/>
        <v>0</v>
      </c>
      <c r="AB47" s="68">
        <f t="shared" si="43"/>
        <v>0</v>
      </c>
      <c r="AC47" s="68">
        <f t="shared" si="43"/>
        <v>0</v>
      </c>
      <c r="AD47" s="68">
        <f t="shared" si="43"/>
        <v>0</v>
      </c>
      <c r="AE47" s="68">
        <f t="shared" si="43"/>
        <v>0</v>
      </c>
      <c r="AF47" s="68">
        <f t="shared" si="43"/>
        <v>0</v>
      </c>
      <c r="AG47" s="68">
        <f t="shared" si="43"/>
        <v>0</v>
      </c>
      <c r="AH47" s="68">
        <f t="shared" si="43"/>
        <v>0</v>
      </c>
      <c r="AI47" s="68">
        <f t="shared" si="43"/>
        <v>0</v>
      </c>
      <c r="AJ47" s="68">
        <f t="shared" si="43"/>
        <v>0</v>
      </c>
      <c r="AK47" s="68">
        <f t="shared" si="43"/>
        <v>0</v>
      </c>
      <c r="AL47" s="68">
        <f t="shared" si="43"/>
        <v>0</v>
      </c>
      <c r="AM47" s="68">
        <f t="shared" si="43"/>
        <v>0</v>
      </c>
      <c r="AN47" s="68">
        <f t="shared" si="43"/>
        <v>0</v>
      </c>
      <c r="AO47" s="68">
        <f t="shared" si="43"/>
        <v>0</v>
      </c>
      <c r="AP47" s="68">
        <f t="shared" si="43"/>
        <v>0</v>
      </c>
      <c r="AQ47" s="68">
        <f t="shared" si="43"/>
        <v>0</v>
      </c>
      <c r="AR47" s="68">
        <f t="shared" si="43"/>
        <v>0</v>
      </c>
      <c r="AS47" s="68">
        <f t="shared" si="43"/>
        <v>0</v>
      </c>
      <c r="AT47" s="68">
        <f t="shared" si="43"/>
        <v>0</v>
      </c>
      <c r="AU47" s="68">
        <f t="shared" si="43"/>
        <v>0</v>
      </c>
      <c r="AV47" s="68">
        <f t="shared" si="43"/>
        <v>0</v>
      </c>
      <c r="AW47" s="68">
        <f t="shared" si="43"/>
        <v>0</v>
      </c>
      <c r="AX47" s="68">
        <f t="shared" si="43"/>
        <v>0</v>
      </c>
      <c r="AY47" s="68">
        <f t="shared" si="43"/>
        <v>0</v>
      </c>
      <c r="AZ47" s="68">
        <f t="shared" si="43"/>
        <v>0</v>
      </c>
      <c r="BA47" s="68">
        <f t="shared" si="43"/>
        <v>0</v>
      </c>
      <c r="BB47" s="68">
        <f t="shared" si="43"/>
        <v>0</v>
      </c>
      <c r="BC47" s="68">
        <f t="shared" si="43"/>
        <v>1</v>
      </c>
      <c r="BD47" s="68">
        <f t="shared" si="43"/>
        <v>1</v>
      </c>
      <c r="BE47" s="68">
        <f t="shared" si="43"/>
        <v>1</v>
      </c>
      <c r="BF47" s="68">
        <f t="shared" si="43"/>
        <v>1</v>
      </c>
      <c r="BG47" s="68">
        <f t="shared" si="43"/>
        <v>1</v>
      </c>
      <c r="BH47" s="68">
        <f t="shared" si="43"/>
        <v>1</v>
      </c>
      <c r="BI47" s="68">
        <f t="shared" si="43"/>
        <v>1</v>
      </c>
      <c r="BJ47" s="68">
        <f t="shared" si="43"/>
        <v>1</v>
      </c>
      <c r="BK47" s="68">
        <f t="shared" si="43"/>
        <v>1</v>
      </c>
      <c r="BL47" s="68">
        <f t="shared" si="43"/>
        <v>1</v>
      </c>
      <c r="BM47" s="68">
        <f t="shared" si="43"/>
        <v>1</v>
      </c>
      <c r="BN47" s="68">
        <f t="shared" si="43"/>
        <v>1</v>
      </c>
      <c r="BO47" s="68">
        <f t="shared" si="43"/>
        <v>1</v>
      </c>
      <c r="BP47" s="68">
        <f t="shared" ref="BP47:BV47" si="44">BP106</f>
        <v>1</v>
      </c>
      <c r="BQ47" s="68">
        <f t="shared" si="44"/>
        <v>1</v>
      </c>
      <c r="BR47" s="68">
        <f t="shared" si="44"/>
        <v>1</v>
      </c>
      <c r="BS47" s="68">
        <f t="shared" si="44"/>
        <v>1</v>
      </c>
      <c r="BT47" s="68">
        <f t="shared" si="44"/>
        <v>1</v>
      </c>
      <c r="BU47" s="68">
        <f t="shared" si="44"/>
        <v>1</v>
      </c>
      <c r="BV47" s="68">
        <f t="shared" si="44"/>
        <v>1</v>
      </c>
      <c r="BW47" s="68">
        <f t="shared" ref="BW47:CL48" si="45">BW106</f>
        <v>1</v>
      </c>
      <c r="BX47" s="68">
        <f t="shared" si="45"/>
        <v>1</v>
      </c>
      <c r="BY47" s="68">
        <f t="shared" si="45"/>
        <v>1</v>
      </c>
      <c r="BZ47" s="68">
        <f t="shared" si="45"/>
        <v>1</v>
      </c>
      <c r="CA47" s="68">
        <f t="shared" si="45"/>
        <v>1</v>
      </c>
      <c r="CB47" s="68">
        <f t="shared" si="45"/>
        <v>1</v>
      </c>
      <c r="CC47" s="68">
        <f t="shared" si="45"/>
        <v>1</v>
      </c>
      <c r="CD47" s="68">
        <f t="shared" si="45"/>
        <v>1</v>
      </c>
      <c r="CE47" s="68">
        <f t="shared" si="45"/>
        <v>1</v>
      </c>
      <c r="CF47" s="68">
        <f t="shared" si="45"/>
        <v>1</v>
      </c>
      <c r="CG47" s="68">
        <f t="shared" si="45"/>
        <v>1</v>
      </c>
      <c r="CH47" s="68">
        <f t="shared" si="45"/>
        <v>1</v>
      </c>
      <c r="CI47" s="68">
        <f t="shared" si="45"/>
        <v>1</v>
      </c>
      <c r="CJ47" s="68">
        <f t="shared" si="45"/>
        <v>1</v>
      </c>
      <c r="CK47" s="68">
        <f t="shared" si="45"/>
        <v>1</v>
      </c>
      <c r="CL47" s="68">
        <f t="shared" si="45"/>
        <v>1</v>
      </c>
      <c r="CM47" s="68">
        <f t="shared" si="42"/>
        <v>1</v>
      </c>
      <c r="CN47" s="68">
        <f t="shared" si="42"/>
        <v>1</v>
      </c>
      <c r="CO47" s="68">
        <f t="shared" si="42"/>
        <v>1</v>
      </c>
      <c r="CP47" s="68">
        <f t="shared" si="42"/>
        <v>1</v>
      </c>
      <c r="CQ47" s="68">
        <f t="shared" si="42"/>
        <v>1</v>
      </c>
      <c r="CR47" s="68">
        <f t="shared" si="42"/>
        <v>1</v>
      </c>
      <c r="CS47" s="68">
        <f t="shared" si="42"/>
        <v>1</v>
      </c>
      <c r="CT47" s="68">
        <f t="shared" si="42"/>
        <v>1</v>
      </c>
      <c r="CU47" s="68">
        <f t="shared" si="42"/>
        <v>1</v>
      </c>
    </row>
    <row r="48" spans="1:100" s="265" customFormat="1" ht="15.75" customHeight="1" outlineLevel="1">
      <c r="A48" s="84"/>
      <c r="B48" s="21"/>
      <c r="C48" s="84" t="s">
        <v>387</v>
      </c>
      <c r="D48" s="68">
        <f t="shared" ref="D48:BO48" si="46">D107</f>
        <v>0</v>
      </c>
      <c r="E48" s="68">
        <f t="shared" si="46"/>
        <v>0</v>
      </c>
      <c r="F48" s="68">
        <f t="shared" si="46"/>
        <v>0</v>
      </c>
      <c r="G48" s="68">
        <f t="shared" si="46"/>
        <v>0</v>
      </c>
      <c r="H48" s="68">
        <f t="shared" si="46"/>
        <v>0</v>
      </c>
      <c r="I48" s="68">
        <f t="shared" si="46"/>
        <v>0</v>
      </c>
      <c r="J48" s="68">
        <f t="shared" si="46"/>
        <v>0</v>
      </c>
      <c r="K48" s="68">
        <f t="shared" si="46"/>
        <v>0</v>
      </c>
      <c r="L48" s="68">
        <f t="shared" si="46"/>
        <v>0</v>
      </c>
      <c r="M48" s="68">
        <f t="shared" si="46"/>
        <v>0</v>
      </c>
      <c r="N48" s="68">
        <f t="shared" si="46"/>
        <v>0</v>
      </c>
      <c r="O48" s="68">
        <f t="shared" si="46"/>
        <v>0</v>
      </c>
      <c r="P48" s="68">
        <f t="shared" si="46"/>
        <v>0</v>
      </c>
      <c r="Q48" s="68">
        <f t="shared" si="46"/>
        <v>0</v>
      </c>
      <c r="R48" s="68">
        <f t="shared" si="46"/>
        <v>0</v>
      </c>
      <c r="S48" s="68">
        <f t="shared" si="46"/>
        <v>0</v>
      </c>
      <c r="T48" s="68">
        <f t="shared" si="46"/>
        <v>0</v>
      </c>
      <c r="U48" s="68">
        <f t="shared" si="46"/>
        <v>0</v>
      </c>
      <c r="V48" s="68">
        <f t="shared" si="46"/>
        <v>0</v>
      </c>
      <c r="W48" s="68">
        <f t="shared" si="46"/>
        <v>0</v>
      </c>
      <c r="X48" s="68">
        <f t="shared" si="46"/>
        <v>0</v>
      </c>
      <c r="Y48" s="68">
        <f t="shared" si="46"/>
        <v>0</v>
      </c>
      <c r="Z48" s="68">
        <f t="shared" si="46"/>
        <v>0</v>
      </c>
      <c r="AA48" s="68">
        <f t="shared" si="46"/>
        <v>0</v>
      </c>
      <c r="AB48" s="68">
        <f t="shared" si="46"/>
        <v>0</v>
      </c>
      <c r="AC48" s="68">
        <f t="shared" si="46"/>
        <v>0</v>
      </c>
      <c r="AD48" s="68">
        <f t="shared" si="46"/>
        <v>0</v>
      </c>
      <c r="AE48" s="68">
        <f t="shared" si="46"/>
        <v>0</v>
      </c>
      <c r="AF48" s="68">
        <f t="shared" si="46"/>
        <v>0</v>
      </c>
      <c r="AG48" s="68">
        <f t="shared" si="46"/>
        <v>0</v>
      </c>
      <c r="AH48" s="68">
        <f t="shared" si="46"/>
        <v>0</v>
      </c>
      <c r="AI48" s="68">
        <f t="shared" si="46"/>
        <v>0</v>
      </c>
      <c r="AJ48" s="68">
        <f t="shared" si="46"/>
        <v>0</v>
      </c>
      <c r="AK48" s="68">
        <f t="shared" si="46"/>
        <v>0</v>
      </c>
      <c r="AL48" s="68">
        <f t="shared" si="46"/>
        <v>0</v>
      </c>
      <c r="AM48" s="68">
        <f t="shared" si="46"/>
        <v>0</v>
      </c>
      <c r="AN48" s="68">
        <f t="shared" si="46"/>
        <v>0</v>
      </c>
      <c r="AO48" s="68">
        <f t="shared" si="46"/>
        <v>0</v>
      </c>
      <c r="AP48" s="68">
        <f t="shared" si="46"/>
        <v>0</v>
      </c>
      <c r="AQ48" s="68">
        <f t="shared" si="46"/>
        <v>0</v>
      </c>
      <c r="AR48" s="68">
        <f t="shared" si="46"/>
        <v>0</v>
      </c>
      <c r="AS48" s="68">
        <f t="shared" si="46"/>
        <v>0</v>
      </c>
      <c r="AT48" s="68">
        <f t="shared" si="46"/>
        <v>0</v>
      </c>
      <c r="AU48" s="68">
        <f t="shared" si="46"/>
        <v>0</v>
      </c>
      <c r="AV48" s="68">
        <f t="shared" si="46"/>
        <v>0</v>
      </c>
      <c r="AW48" s="68">
        <f t="shared" si="46"/>
        <v>0</v>
      </c>
      <c r="AX48" s="68">
        <f t="shared" si="46"/>
        <v>0</v>
      </c>
      <c r="AY48" s="68">
        <f t="shared" si="46"/>
        <v>0</v>
      </c>
      <c r="AZ48" s="68">
        <f t="shared" si="46"/>
        <v>0</v>
      </c>
      <c r="BA48" s="68">
        <f t="shared" si="46"/>
        <v>0</v>
      </c>
      <c r="BB48" s="68">
        <f t="shared" si="46"/>
        <v>0</v>
      </c>
      <c r="BC48" s="68">
        <f t="shared" si="46"/>
        <v>1</v>
      </c>
      <c r="BD48" s="68">
        <f t="shared" si="46"/>
        <v>1</v>
      </c>
      <c r="BE48" s="68">
        <f t="shared" si="46"/>
        <v>1</v>
      </c>
      <c r="BF48" s="68">
        <f t="shared" si="46"/>
        <v>1</v>
      </c>
      <c r="BG48" s="68">
        <f t="shared" si="46"/>
        <v>1</v>
      </c>
      <c r="BH48" s="68">
        <f t="shared" si="46"/>
        <v>1</v>
      </c>
      <c r="BI48" s="68">
        <f t="shared" si="46"/>
        <v>1</v>
      </c>
      <c r="BJ48" s="68">
        <f t="shared" si="46"/>
        <v>1</v>
      </c>
      <c r="BK48" s="68">
        <f t="shared" si="46"/>
        <v>1</v>
      </c>
      <c r="BL48" s="68">
        <f t="shared" si="46"/>
        <v>1</v>
      </c>
      <c r="BM48" s="68">
        <f t="shared" si="46"/>
        <v>1</v>
      </c>
      <c r="BN48" s="68">
        <f t="shared" si="46"/>
        <v>1</v>
      </c>
      <c r="BO48" s="68">
        <f t="shared" si="46"/>
        <v>1</v>
      </c>
      <c r="BP48" s="68">
        <f t="shared" ref="BP48:BV48" si="47">BP107</f>
        <v>1</v>
      </c>
      <c r="BQ48" s="68">
        <f t="shared" si="47"/>
        <v>1</v>
      </c>
      <c r="BR48" s="68">
        <f t="shared" si="47"/>
        <v>1</v>
      </c>
      <c r="BS48" s="68">
        <f t="shared" si="47"/>
        <v>1</v>
      </c>
      <c r="BT48" s="68">
        <f t="shared" si="47"/>
        <v>1</v>
      </c>
      <c r="BU48" s="68">
        <f t="shared" si="47"/>
        <v>1</v>
      </c>
      <c r="BV48" s="68">
        <f t="shared" si="47"/>
        <v>1</v>
      </c>
      <c r="BW48" s="68">
        <f t="shared" si="45"/>
        <v>1</v>
      </c>
      <c r="BX48" s="68">
        <f t="shared" si="42"/>
        <v>1</v>
      </c>
      <c r="BY48" s="68">
        <f t="shared" si="42"/>
        <v>1</v>
      </c>
      <c r="BZ48" s="68">
        <f t="shared" si="42"/>
        <v>1</v>
      </c>
      <c r="CA48" s="68">
        <f t="shared" si="42"/>
        <v>1</v>
      </c>
      <c r="CB48" s="68">
        <f t="shared" si="42"/>
        <v>1</v>
      </c>
      <c r="CC48" s="68">
        <f t="shared" si="42"/>
        <v>1</v>
      </c>
      <c r="CD48" s="68">
        <f t="shared" si="42"/>
        <v>1</v>
      </c>
      <c r="CE48" s="68">
        <f t="shared" si="42"/>
        <v>1</v>
      </c>
      <c r="CF48" s="68">
        <f t="shared" si="42"/>
        <v>1</v>
      </c>
      <c r="CG48" s="68">
        <f t="shared" si="42"/>
        <v>1</v>
      </c>
      <c r="CH48" s="68">
        <f t="shared" si="42"/>
        <v>1</v>
      </c>
      <c r="CI48" s="68">
        <f t="shared" si="42"/>
        <v>1</v>
      </c>
      <c r="CJ48" s="68">
        <f t="shared" si="42"/>
        <v>1</v>
      </c>
      <c r="CK48" s="68">
        <f t="shared" si="42"/>
        <v>1</v>
      </c>
      <c r="CL48" s="68">
        <f t="shared" si="42"/>
        <v>1</v>
      </c>
      <c r="CM48" s="68">
        <f t="shared" si="42"/>
        <v>1</v>
      </c>
      <c r="CN48" s="68">
        <f t="shared" si="42"/>
        <v>1</v>
      </c>
      <c r="CO48" s="68">
        <f t="shared" si="42"/>
        <v>1</v>
      </c>
      <c r="CP48" s="68">
        <f t="shared" si="42"/>
        <v>1</v>
      </c>
      <c r="CQ48" s="68">
        <f t="shared" si="42"/>
        <v>1</v>
      </c>
      <c r="CR48" s="68">
        <f t="shared" si="42"/>
        <v>1</v>
      </c>
      <c r="CS48" s="68">
        <f t="shared" si="42"/>
        <v>1</v>
      </c>
      <c r="CT48" s="68">
        <f t="shared" si="42"/>
        <v>1</v>
      </c>
      <c r="CU48" s="68">
        <f t="shared" si="42"/>
        <v>1</v>
      </c>
    </row>
    <row r="49" spans="1:99" ht="15.75" customHeight="1">
      <c r="A49" s="84"/>
      <c r="B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</row>
    <row r="50" spans="1:99" ht="15.75" customHeight="1">
      <c r="A50" s="84"/>
      <c r="B50" s="30"/>
      <c r="C50" s="31" t="s">
        <v>43</v>
      </c>
      <c r="D50" s="40">
        <f>D55+D83+D109+D112+D128+D140+D151+D68</f>
        <v>544360</v>
      </c>
      <c r="E50" s="40">
        <f t="shared" ref="E50:BP50" si="48">E55+E83+E109+E112+E128+E140+E151+E68</f>
        <v>29360</v>
      </c>
      <c r="F50" s="40">
        <f t="shared" si="48"/>
        <v>36084.741000000002</v>
      </c>
      <c r="G50" s="40">
        <f t="shared" si="48"/>
        <v>36084.741000000002</v>
      </c>
      <c r="H50" s="40">
        <f t="shared" si="48"/>
        <v>36084.741000000002</v>
      </c>
      <c r="I50" s="40">
        <f t="shared" si="48"/>
        <v>36184.741000000002</v>
      </c>
      <c r="J50" s="40">
        <f t="shared" si="48"/>
        <v>36184.741000000002</v>
      </c>
      <c r="K50" s="40">
        <f t="shared" si="48"/>
        <v>36184.741000000002</v>
      </c>
      <c r="L50" s="40">
        <f t="shared" si="48"/>
        <v>36184.741000000002</v>
      </c>
      <c r="M50" s="40">
        <f t="shared" si="48"/>
        <v>36184.741000000002</v>
      </c>
      <c r="N50" s="40">
        <f t="shared" si="48"/>
        <v>36184.741000000002</v>
      </c>
      <c r="O50" s="40">
        <f t="shared" si="48"/>
        <v>48184.741000000002</v>
      </c>
      <c r="P50" s="40">
        <f t="shared" si="48"/>
        <v>69750.997000000003</v>
      </c>
      <c r="Q50" s="40">
        <f t="shared" si="48"/>
        <v>36750.997000000003</v>
      </c>
      <c r="R50" s="40">
        <f t="shared" si="48"/>
        <v>36750.997000000003</v>
      </c>
      <c r="S50" s="40">
        <f t="shared" si="48"/>
        <v>36750.997000000003</v>
      </c>
      <c r="T50" s="40">
        <f t="shared" si="48"/>
        <v>36750.997000000003</v>
      </c>
      <c r="U50" s="40">
        <f t="shared" si="48"/>
        <v>36750.997000000003</v>
      </c>
      <c r="V50" s="40">
        <f t="shared" si="48"/>
        <v>36867.252999999997</v>
      </c>
      <c r="W50" s="40">
        <f t="shared" si="48"/>
        <v>36867.252999999997</v>
      </c>
      <c r="X50" s="40">
        <f t="shared" si="48"/>
        <v>36867.252999999997</v>
      </c>
      <c r="Y50" s="40">
        <f t="shared" si="48"/>
        <v>39167.252999999997</v>
      </c>
      <c r="Z50" s="40">
        <f t="shared" si="48"/>
        <v>37867.252999999997</v>
      </c>
      <c r="AA50" s="40">
        <f t="shared" si="48"/>
        <v>169867.253</v>
      </c>
      <c r="AB50" s="40">
        <f t="shared" si="48"/>
        <v>92175.466</v>
      </c>
      <c r="AC50" s="40">
        <f t="shared" si="48"/>
        <v>40675.466</v>
      </c>
      <c r="AD50" s="40">
        <f t="shared" si="48"/>
        <v>40675.466</v>
      </c>
      <c r="AE50" s="40">
        <f t="shared" si="48"/>
        <v>61175.466</v>
      </c>
      <c r="AF50" s="40">
        <f t="shared" si="48"/>
        <v>161175.46600000001</v>
      </c>
      <c r="AG50" s="40">
        <f t="shared" si="48"/>
        <v>41553.199000000001</v>
      </c>
      <c r="AH50" s="40">
        <f t="shared" si="48"/>
        <v>41553.199000000001</v>
      </c>
      <c r="AI50" s="40">
        <f t="shared" si="48"/>
        <v>41553.199000000001</v>
      </c>
      <c r="AJ50" s="40">
        <f t="shared" si="48"/>
        <v>41553.199000000001</v>
      </c>
      <c r="AK50" s="40">
        <f t="shared" si="48"/>
        <v>41553.199000000001</v>
      </c>
      <c r="AL50" s="40">
        <f t="shared" si="48"/>
        <v>165063.19899999999</v>
      </c>
      <c r="AM50" s="40">
        <f t="shared" si="48"/>
        <v>53008.42</v>
      </c>
      <c r="AN50" s="40">
        <f t="shared" si="48"/>
        <v>196070.88399999999</v>
      </c>
      <c r="AO50" s="40">
        <f t="shared" si="48"/>
        <v>49070.883999999998</v>
      </c>
      <c r="AP50" s="40">
        <f t="shared" si="48"/>
        <v>48070.883999999998</v>
      </c>
      <c r="AQ50" s="40">
        <f t="shared" si="48"/>
        <v>150470.88399999999</v>
      </c>
      <c r="AR50" s="40">
        <f t="shared" si="48"/>
        <v>158070.88399999999</v>
      </c>
      <c r="AS50" s="40">
        <f t="shared" si="48"/>
        <v>48651.767999999996</v>
      </c>
      <c r="AT50" s="40">
        <f t="shared" si="48"/>
        <v>49361.326000000001</v>
      </c>
      <c r="AU50" s="40">
        <f t="shared" si="48"/>
        <v>148361.326</v>
      </c>
      <c r="AV50" s="40">
        <f t="shared" si="48"/>
        <v>161481.326</v>
      </c>
      <c r="AW50" s="40">
        <f t="shared" si="48"/>
        <v>151631.326</v>
      </c>
      <c r="AX50" s="40">
        <f t="shared" si="48"/>
        <v>207081.326</v>
      </c>
      <c r="AY50" s="40">
        <f t="shared" si="48"/>
        <v>146762.21</v>
      </c>
      <c r="AZ50" s="40">
        <f t="shared" si="48"/>
        <v>262687.43099999998</v>
      </c>
      <c r="BA50" s="40">
        <f t="shared" si="48"/>
        <v>65087.430999999997</v>
      </c>
      <c r="BB50" s="40">
        <f t="shared" si="48"/>
        <v>344558.75699999998</v>
      </c>
      <c r="BC50" s="40">
        <f t="shared" si="48"/>
        <v>1400863.094</v>
      </c>
      <c r="BD50" s="40">
        <f t="shared" si="48"/>
        <v>98513.093999999997</v>
      </c>
      <c r="BE50" s="40">
        <f t="shared" si="48"/>
        <v>857274.86199999996</v>
      </c>
      <c r="BF50" s="40">
        <f t="shared" si="48"/>
        <v>98274.861999999994</v>
      </c>
      <c r="BG50" s="40">
        <f t="shared" si="48"/>
        <v>99674.861999999994</v>
      </c>
      <c r="BH50" s="40">
        <f t="shared" si="48"/>
        <v>858436.63</v>
      </c>
      <c r="BI50" s="40">
        <f t="shared" si="48"/>
        <v>98436.63</v>
      </c>
      <c r="BJ50" s="40">
        <f t="shared" si="48"/>
        <v>98436.63</v>
      </c>
      <c r="BK50" s="40">
        <f t="shared" si="48"/>
        <v>124636.63</v>
      </c>
      <c r="BL50" s="40">
        <f t="shared" si="48"/>
        <v>590597.07200000004</v>
      </c>
      <c r="BM50" s="40">
        <f t="shared" si="48"/>
        <v>289067.07199999999</v>
      </c>
      <c r="BN50" s="40">
        <f t="shared" si="48"/>
        <v>695109.72400000005</v>
      </c>
      <c r="BO50" s="40">
        <f t="shared" si="48"/>
        <v>124238.398</v>
      </c>
      <c r="BP50" s="40">
        <f t="shared" si="48"/>
        <v>130238.398</v>
      </c>
      <c r="BQ50" s="40">
        <f t="shared" ref="BQ50:CU50" si="49">BQ55+BQ83+BQ109+BQ112+BQ128+BQ140+BQ151+BQ68</f>
        <v>1646561.9339999999</v>
      </c>
      <c r="BR50" s="40">
        <f t="shared" si="49"/>
        <v>127561.93400000001</v>
      </c>
      <c r="BS50" s="40">
        <f t="shared" si="49"/>
        <v>307931.93400000001</v>
      </c>
      <c r="BT50" s="40">
        <f t="shared" si="49"/>
        <v>1663555.47</v>
      </c>
      <c r="BU50" s="40">
        <f t="shared" si="49"/>
        <v>143555.47</v>
      </c>
      <c r="BV50" s="40">
        <f t="shared" si="49"/>
        <v>143555.47</v>
      </c>
      <c r="BW50" s="40">
        <f t="shared" si="49"/>
        <v>196955.47</v>
      </c>
      <c r="BX50" s="40">
        <f t="shared" si="49"/>
        <v>625991.13300000003</v>
      </c>
      <c r="BY50" s="40">
        <f t="shared" si="49"/>
        <v>151991.133</v>
      </c>
      <c r="BZ50" s="40">
        <f t="shared" si="49"/>
        <v>1001605.111</v>
      </c>
      <c r="CA50" s="40">
        <f t="shared" si="49"/>
        <v>319718.12199999997</v>
      </c>
      <c r="CB50" s="40">
        <f t="shared" si="49"/>
        <v>166018.122</v>
      </c>
      <c r="CC50" s="40">
        <f t="shared" si="49"/>
        <v>2441503.426</v>
      </c>
      <c r="CD50" s="40">
        <f t="shared" si="49"/>
        <v>162503.42600000001</v>
      </c>
      <c r="CE50" s="40">
        <f t="shared" si="49"/>
        <v>169503.42600000001</v>
      </c>
      <c r="CF50" s="40">
        <f t="shared" si="49"/>
        <v>2444988.73</v>
      </c>
      <c r="CG50" s="40">
        <f t="shared" si="49"/>
        <v>164988.72999999998</v>
      </c>
      <c r="CH50" s="40">
        <f t="shared" si="49"/>
        <v>164988.72999999998</v>
      </c>
      <c r="CI50" s="40">
        <f t="shared" si="49"/>
        <v>433808.73</v>
      </c>
      <c r="CJ50" s="40">
        <f t="shared" si="49"/>
        <v>790289.61400000006</v>
      </c>
      <c r="CK50" s="40">
        <f t="shared" si="49"/>
        <v>187289.614</v>
      </c>
      <c r="CL50" s="40">
        <f t="shared" si="49"/>
        <v>1320774.9180000001</v>
      </c>
      <c r="CM50" s="40">
        <f t="shared" si="49"/>
        <v>179032.266</v>
      </c>
      <c r="CN50" s="40">
        <f t="shared" si="49"/>
        <v>189032.266</v>
      </c>
      <c r="CO50" s="40">
        <f t="shared" si="49"/>
        <v>3223679.338</v>
      </c>
      <c r="CP50" s="40">
        <f t="shared" si="49"/>
        <v>184679.33799999999</v>
      </c>
      <c r="CQ50" s="40">
        <f t="shared" si="49"/>
        <v>370099.33799999999</v>
      </c>
      <c r="CR50" s="40">
        <f t="shared" si="49"/>
        <v>3241046.41</v>
      </c>
      <c r="CS50" s="40">
        <f t="shared" si="49"/>
        <v>201046.41</v>
      </c>
      <c r="CT50" s="40">
        <f t="shared" si="49"/>
        <v>201046.41</v>
      </c>
      <c r="CU50" s="40">
        <f t="shared" si="49"/>
        <v>347246.41000000003</v>
      </c>
    </row>
    <row r="51" spans="1:99" ht="15.75" customHeight="1">
      <c r="A51" s="84"/>
      <c r="B51" s="30"/>
      <c r="C51" s="31" t="s">
        <v>44</v>
      </c>
      <c r="D51" s="40">
        <f t="shared" ref="D51:AI51" si="50">D83+D140+D151</f>
        <v>112760</v>
      </c>
      <c r="E51" s="40">
        <f t="shared" si="50"/>
        <v>26460</v>
      </c>
      <c r="F51" s="40">
        <f t="shared" si="50"/>
        <v>33184.741000000002</v>
      </c>
      <c r="G51" s="40">
        <f t="shared" si="50"/>
        <v>33184.741000000002</v>
      </c>
      <c r="H51" s="40">
        <f t="shared" si="50"/>
        <v>33184.741000000002</v>
      </c>
      <c r="I51" s="40">
        <f t="shared" si="50"/>
        <v>33284.741000000002</v>
      </c>
      <c r="J51" s="40">
        <f t="shared" si="50"/>
        <v>33284.741000000002</v>
      </c>
      <c r="K51" s="40">
        <f t="shared" si="50"/>
        <v>33284.741000000002</v>
      </c>
      <c r="L51" s="40">
        <f t="shared" si="50"/>
        <v>33284.741000000002</v>
      </c>
      <c r="M51" s="40">
        <f t="shared" si="50"/>
        <v>33284.741000000002</v>
      </c>
      <c r="N51" s="40">
        <f t="shared" si="50"/>
        <v>33284.741000000002</v>
      </c>
      <c r="O51" s="40">
        <f t="shared" si="50"/>
        <v>34284.741000000002</v>
      </c>
      <c r="P51" s="40">
        <f t="shared" si="50"/>
        <v>62850.997000000003</v>
      </c>
      <c r="Q51" s="40">
        <f t="shared" si="50"/>
        <v>33850.997000000003</v>
      </c>
      <c r="R51" s="40">
        <f t="shared" si="50"/>
        <v>33850.997000000003</v>
      </c>
      <c r="S51" s="40">
        <f t="shared" si="50"/>
        <v>33850.997000000003</v>
      </c>
      <c r="T51" s="40">
        <f t="shared" si="50"/>
        <v>33850.997000000003</v>
      </c>
      <c r="U51" s="40">
        <f t="shared" si="50"/>
        <v>33850.997000000003</v>
      </c>
      <c r="V51" s="40">
        <f t="shared" si="50"/>
        <v>33967.252999999997</v>
      </c>
      <c r="W51" s="40">
        <f t="shared" si="50"/>
        <v>33967.252999999997</v>
      </c>
      <c r="X51" s="40">
        <f t="shared" si="50"/>
        <v>33967.252999999997</v>
      </c>
      <c r="Y51" s="40">
        <f t="shared" si="50"/>
        <v>34267.252999999997</v>
      </c>
      <c r="Z51" s="40">
        <f t="shared" si="50"/>
        <v>34967.252999999997</v>
      </c>
      <c r="AA51" s="40">
        <f t="shared" si="50"/>
        <v>35967.252999999997</v>
      </c>
      <c r="AB51" s="40">
        <f t="shared" si="50"/>
        <v>85275.466</v>
      </c>
      <c r="AC51" s="40">
        <f t="shared" si="50"/>
        <v>37775.466</v>
      </c>
      <c r="AD51" s="40">
        <f t="shared" si="50"/>
        <v>37775.466</v>
      </c>
      <c r="AE51" s="40">
        <f t="shared" si="50"/>
        <v>38275.466</v>
      </c>
      <c r="AF51" s="40">
        <f t="shared" si="50"/>
        <v>38275.466</v>
      </c>
      <c r="AG51" s="40">
        <f t="shared" si="50"/>
        <v>38653.199000000001</v>
      </c>
      <c r="AH51" s="40">
        <f t="shared" si="50"/>
        <v>38653.199000000001</v>
      </c>
      <c r="AI51" s="40">
        <f t="shared" si="50"/>
        <v>38653.199000000001</v>
      </c>
      <c r="AJ51" s="40">
        <f t="shared" ref="AJ51:BO51" si="51">AJ83+AJ140+AJ151</f>
        <v>38653.199000000001</v>
      </c>
      <c r="AK51" s="40">
        <f t="shared" si="51"/>
        <v>38653.199000000001</v>
      </c>
      <c r="AL51" s="40">
        <f t="shared" si="51"/>
        <v>42163.199000000001</v>
      </c>
      <c r="AM51" s="40">
        <f t="shared" si="51"/>
        <v>43308.42</v>
      </c>
      <c r="AN51" s="40">
        <f t="shared" si="51"/>
        <v>74170.884000000005</v>
      </c>
      <c r="AO51" s="40">
        <f t="shared" si="51"/>
        <v>45170.883999999998</v>
      </c>
      <c r="AP51" s="40">
        <f t="shared" si="51"/>
        <v>45170.883999999998</v>
      </c>
      <c r="AQ51" s="40">
        <f t="shared" si="51"/>
        <v>47570.883999999998</v>
      </c>
      <c r="AR51" s="40">
        <f t="shared" si="51"/>
        <v>45170.883999999998</v>
      </c>
      <c r="AS51" s="40">
        <f t="shared" si="51"/>
        <v>45751.767999999996</v>
      </c>
      <c r="AT51" s="40">
        <f t="shared" si="51"/>
        <v>45461.326000000001</v>
      </c>
      <c r="AU51" s="40">
        <f t="shared" si="51"/>
        <v>45461.326000000001</v>
      </c>
      <c r="AV51" s="40">
        <f t="shared" si="51"/>
        <v>48581.326000000001</v>
      </c>
      <c r="AW51" s="40">
        <f t="shared" si="51"/>
        <v>48731.326000000001</v>
      </c>
      <c r="AX51" s="40">
        <f t="shared" si="51"/>
        <v>54181.326000000001</v>
      </c>
      <c r="AY51" s="40">
        <f t="shared" si="51"/>
        <v>53062.21</v>
      </c>
      <c r="AZ51" s="40">
        <f t="shared" si="51"/>
        <v>157387.43099999998</v>
      </c>
      <c r="BA51" s="40">
        <f t="shared" si="51"/>
        <v>61787.430999999997</v>
      </c>
      <c r="BB51" s="40">
        <f t="shared" si="51"/>
        <v>56258.756999999998</v>
      </c>
      <c r="BC51" s="40">
        <f t="shared" si="51"/>
        <v>187663.09399999998</v>
      </c>
      <c r="BD51" s="40">
        <f t="shared" si="51"/>
        <v>95563.093999999997</v>
      </c>
      <c r="BE51" s="40">
        <f t="shared" si="51"/>
        <v>94324.861999999994</v>
      </c>
      <c r="BF51" s="40">
        <f t="shared" si="51"/>
        <v>94324.861999999994</v>
      </c>
      <c r="BG51" s="40">
        <f t="shared" si="51"/>
        <v>96724.861999999994</v>
      </c>
      <c r="BH51" s="40">
        <f t="shared" si="51"/>
        <v>95486.63</v>
      </c>
      <c r="BI51" s="40">
        <f t="shared" si="51"/>
        <v>95486.63</v>
      </c>
      <c r="BJ51" s="40">
        <f t="shared" si="51"/>
        <v>95486.63</v>
      </c>
      <c r="BK51" s="40">
        <f t="shared" si="51"/>
        <v>95486.63</v>
      </c>
      <c r="BL51" s="40">
        <f t="shared" si="51"/>
        <v>268647.07199999999</v>
      </c>
      <c r="BM51" s="40">
        <f t="shared" si="51"/>
        <v>125567.072</v>
      </c>
      <c r="BN51" s="40">
        <f t="shared" si="51"/>
        <v>121309.724</v>
      </c>
      <c r="BO51" s="40">
        <f t="shared" si="51"/>
        <v>120438.398</v>
      </c>
      <c r="BP51" s="40">
        <f t="shared" ref="BP51:CU51" si="52">BP83+BP140+BP151</f>
        <v>126438.398</v>
      </c>
      <c r="BQ51" s="40">
        <f t="shared" si="52"/>
        <v>122761.93400000001</v>
      </c>
      <c r="BR51" s="40">
        <f t="shared" si="52"/>
        <v>122761.93400000001</v>
      </c>
      <c r="BS51" s="40">
        <f t="shared" si="52"/>
        <v>142031.93400000001</v>
      </c>
      <c r="BT51" s="40">
        <f t="shared" si="52"/>
        <v>138355.47</v>
      </c>
      <c r="BU51" s="40">
        <f t="shared" si="52"/>
        <v>138355.47</v>
      </c>
      <c r="BV51" s="40">
        <f t="shared" si="52"/>
        <v>138355.47</v>
      </c>
      <c r="BW51" s="40">
        <f t="shared" si="52"/>
        <v>138355.47</v>
      </c>
      <c r="BX51" s="40">
        <f t="shared" si="52"/>
        <v>306791.13300000003</v>
      </c>
      <c r="BY51" s="40">
        <f t="shared" si="52"/>
        <v>146791.133</v>
      </c>
      <c r="BZ51" s="40">
        <f t="shared" si="52"/>
        <v>141405.111</v>
      </c>
      <c r="CA51" s="40">
        <f t="shared" si="52"/>
        <v>151418.122</v>
      </c>
      <c r="CB51" s="40">
        <f t="shared" si="52"/>
        <v>159418.122</v>
      </c>
      <c r="CC51" s="40">
        <f t="shared" si="52"/>
        <v>154903.42600000001</v>
      </c>
      <c r="CD51" s="40">
        <f t="shared" si="52"/>
        <v>154903.42600000001</v>
      </c>
      <c r="CE51" s="40">
        <f t="shared" si="52"/>
        <v>162903.42600000001</v>
      </c>
      <c r="CF51" s="40">
        <f t="shared" si="52"/>
        <v>158388.72999999998</v>
      </c>
      <c r="CG51" s="40">
        <f t="shared" si="52"/>
        <v>158388.72999999998</v>
      </c>
      <c r="CH51" s="40">
        <f t="shared" si="52"/>
        <v>158388.72999999998</v>
      </c>
      <c r="CI51" s="40">
        <f t="shared" si="52"/>
        <v>169708.72999999998</v>
      </c>
      <c r="CJ51" s="40">
        <f t="shared" si="52"/>
        <v>253289.614</v>
      </c>
      <c r="CK51" s="40">
        <f t="shared" si="52"/>
        <v>179289.614</v>
      </c>
      <c r="CL51" s="40">
        <f t="shared" si="52"/>
        <v>172774.91800000001</v>
      </c>
      <c r="CM51" s="40">
        <f t="shared" si="52"/>
        <v>171032.266</v>
      </c>
      <c r="CN51" s="40">
        <f t="shared" si="52"/>
        <v>181032.266</v>
      </c>
      <c r="CO51" s="40">
        <f t="shared" si="52"/>
        <v>175679.33799999999</v>
      </c>
      <c r="CP51" s="40">
        <f t="shared" si="52"/>
        <v>175679.33799999999</v>
      </c>
      <c r="CQ51" s="40">
        <f t="shared" si="52"/>
        <v>196999.33799999999</v>
      </c>
      <c r="CR51" s="40">
        <f t="shared" si="52"/>
        <v>191646.41</v>
      </c>
      <c r="CS51" s="40">
        <f t="shared" si="52"/>
        <v>191646.41</v>
      </c>
      <c r="CT51" s="40">
        <f t="shared" si="52"/>
        <v>191646.41</v>
      </c>
      <c r="CU51" s="40">
        <f t="shared" si="52"/>
        <v>191646.41</v>
      </c>
    </row>
    <row r="52" spans="1:99" ht="15.75" customHeight="1" outlineLevel="1">
      <c r="A52" s="347"/>
      <c r="B52" s="21"/>
      <c r="C52" s="21"/>
      <c r="D52" s="41"/>
      <c r="E52" s="21"/>
      <c r="F52" s="21"/>
      <c r="G52" s="21"/>
      <c r="H52" s="21"/>
      <c r="I52" s="42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</row>
    <row r="53" spans="1:99" ht="15.75" customHeight="1" outlineLevel="1">
      <c r="A53" s="347"/>
      <c r="B53" s="30">
        <v>1</v>
      </c>
      <c r="C53" s="31" t="s">
        <v>45</v>
      </c>
      <c r="D53" s="40">
        <f>D55+D83+D109+D112+D128+D140+D151+D68</f>
        <v>544360</v>
      </c>
      <c r="E53" s="40">
        <f t="shared" ref="E53:BP53" si="53">E55+E83+E109+E112+E128+E140+E151+E68</f>
        <v>29360</v>
      </c>
      <c r="F53" s="40">
        <f t="shared" si="53"/>
        <v>36084.741000000002</v>
      </c>
      <c r="G53" s="40">
        <f t="shared" si="53"/>
        <v>36084.741000000002</v>
      </c>
      <c r="H53" s="40">
        <f t="shared" si="53"/>
        <v>36084.741000000002</v>
      </c>
      <c r="I53" s="40">
        <f t="shared" si="53"/>
        <v>36184.741000000002</v>
      </c>
      <c r="J53" s="40">
        <f t="shared" si="53"/>
        <v>36184.741000000002</v>
      </c>
      <c r="K53" s="40">
        <f t="shared" si="53"/>
        <v>36184.741000000002</v>
      </c>
      <c r="L53" s="40">
        <f t="shared" si="53"/>
        <v>36184.741000000002</v>
      </c>
      <c r="M53" s="40">
        <f t="shared" si="53"/>
        <v>36184.741000000002</v>
      </c>
      <c r="N53" s="40">
        <f t="shared" si="53"/>
        <v>36184.741000000002</v>
      </c>
      <c r="O53" s="40">
        <f t="shared" si="53"/>
        <v>48184.741000000002</v>
      </c>
      <c r="P53" s="40">
        <f t="shared" si="53"/>
        <v>69750.997000000003</v>
      </c>
      <c r="Q53" s="40">
        <f t="shared" si="53"/>
        <v>36750.997000000003</v>
      </c>
      <c r="R53" s="40">
        <f t="shared" si="53"/>
        <v>36750.997000000003</v>
      </c>
      <c r="S53" s="40">
        <f t="shared" si="53"/>
        <v>36750.997000000003</v>
      </c>
      <c r="T53" s="40">
        <f t="shared" si="53"/>
        <v>36750.997000000003</v>
      </c>
      <c r="U53" s="40">
        <f t="shared" si="53"/>
        <v>36750.997000000003</v>
      </c>
      <c r="V53" s="40">
        <f t="shared" si="53"/>
        <v>36867.252999999997</v>
      </c>
      <c r="W53" s="40">
        <f t="shared" si="53"/>
        <v>36867.252999999997</v>
      </c>
      <c r="X53" s="40">
        <f t="shared" si="53"/>
        <v>36867.252999999997</v>
      </c>
      <c r="Y53" s="40">
        <f t="shared" si="53"/>
        <v>39167.252999999997</v>
      </c>
      <c r="Z53" s="40">
        <f t="shared" si="53"/>
        <v>37867.252999999997</v>
      </c>
      <c r="AA53" s="40">
        <f t="shared" si="53"/>
        <v>169867.253</v>
      </c>
      <c r="AB53" s="40">
        <f t="shared" si="53"/>
        <v>92175.466</v>
      </c>
      <c r="AC53" s="40">
        <f t="shared" si="53"/>
        <v>40675.466</v>
      </c>
      <c r="AD53" s="40">
        <f t="shared" si="53"/>
        <v>40675.466</v>
      </c>
      <c r="AE53" s="40">
        <f t="shared" si="53"/>
        <v>61175.466</v>
      </c>
      <c r="AF53" s="40">
        <f t="shared" si="53"/>
        <v>161175.46600000001</v>
      </c>
      <c r="AG53" s="40">
        <f t="shared" si="53"/>
        <v>41553.199000000001</v>
      </c>
      <c r="AH53" s="40">
        <f t="shared" si="53"/>
        <v>41553.199000000001</v>
      </c>
      <c r="AI53" s="40">
        <f t="shared" si="53"/>
        <v>41553.199000000001</v>
      </c>
      <c r="AJ53" s="40">
        <f t="shared" si="53"/>
        <v>41553.199000000001</v>
      </c>
      <c r="AK53" s="40">
        <f t="shared" si="53"/>
        <v>41553.199000000001</v>
      </c>
      <c r="AL53" s="40">
        <f t="shared" si="53"/>
        <v>165063.19899999999</v>
      </c>
      <c r="AM53" s="40">
        <f t="shared" si="53"/>
        <v>53008.42</v>
      </c>
      <c r="AN53" s="40">
        <f t="shared" si="53"/>
        <v>196070.88399999999</v>
      </c>
      <c r="AO53" s="40">
        <f t="shared" si="53"/>
        <v>49070.883999999998</v>
      </c>
      <c r="AP53" s="40">
        <f t="shared" si="53"/>
        <v>48070.883999999998</v>
      </c>
      <c r="AQ53" s="40">
        <f t="shared" si="53"/>
        <v>150470.88399999999</v>
      </c>
      <c r="AR53" s="40">
        <f t="shared" si="53"/>
        <v>158070.88399999999</v>
      </c>
      <c r="AS53" s="40">
        <f t="shared" si="53"/>
        <v>48651.767999999996</v>
      </c>
      <c r="AT53" s="40">
        <f t="shared" si="53"/>
        <v>49361.326000000001</v>
      </c>
      <c r="AU53" s="40">
        <f t="shared" si="53"/>
        <v>148361.326</v>
      </c>
      <c r="AV53" s="40">
        <f t="shared" si="53"/>
        <v>161481.326</v>
      </c>
      <c r="AW53" s="40">
        <f t="shared" si="53"/>
        <v>151631.326</v>
      </c>
      <c r="AX53" s="40">
        <f t="shared" si="53"/>
        <v>207081.326</v>
      </c>
      <c r="AY53" s="40">
        <f t="shared" si="53"/>
        <v>146762.21</v>
      </c>
      <c r="AZ53" s="40">
        <f t="shared" si="53"/>
        <v>262687.43099999998</v>
      </c>
      <c r="BA53" s="40">
        <f t="shared" si="53"/>
        <v>65087.430999999997</v>
      </c>
      <c r="BB53" s="40">
        <f t="shared" si="53"/>
        <v>344558.75699999998</v>
      </c>
      <c r="BC53" s="40">
        <f t="shared" si="53"/>
        <v>1400863.094</v>
      </c>
      <c r="BD53" s="40">
        <f t="shared" si="53"/>
        <v>98513.093999999997</v>
      </c>
      <c r="BE53" s="40">
        <f t="shared" si="53"/>
        <v>857274.86199999996</v>
      </c>
      <c r="BF53" s="40">
        <f t="shared" si="53"/>
        <v>98274.861999999994</v>
      </c>
      <c r="BG53" s="40">
        <f t="shared" si="53"/>
        <v>99674.861999999994</v>
      </c>
      <c r="BH53" s="40">
        <f t="shared" si="53"/>
        <v>858436.63</v>
      </c>
      <c r="BI53" s="40">
        <f t="shared" si="53"/>
        <v>98436.63</v>
      </c>
      <c r="BJ53" s="40">
        <f t="shared" si="53"/>
        <v>98436.63</v>
      </c>
      <c r="BK53" s="40">
        <f t="shared" si="53"/>
        <v>124636.63</v>
      </c>
      <c r="BL53" s="40">
        <f t="shared" si="53"/>
        <v>590597.07200000004</v>
      </c>
      <c r="BM53" s="40">
        <f t="shared" si="53"/>
        <v>289067.07199999999</v>
      </c>
      <c r="BN53" s="40">
        <f t="shared" si="53"/>
        <v>695109.72400000005</v>
      </c>
      <c r="BO53" s="40">
        <f t="shared" si="53"/>
        <v>124238.398</v>
      </c>
      <c r="BP53" s="40">
        <f t="shared" si="53"/>
        <v>130238.398</v>
      </c>
      <c r="BQ53" s="40">
        <f t="shared" ref="BQ53:CU53" si="54">BQ55+BQ83+BQ109+BQ112+BQ128+BQ140+BQ151+BQ68</f>
        <v>1646561.9339999999</v>
      </c>
      <c r="BR53" s="40">
        <f t="shared" si="54"/>
        <v>127561.93400000001</v>
      </c>
      <c r="BS53" s="40">
        <f t="shared" si="54"/>
        <v>307931.93400000001</v>
      </c>
      <c r="BT53" s="40">
        <f t="shared" si="54"/>
        <v>1663555.47</v>
      </c>
      <c r="BU53" s="40">
        <f t="shared" si="54"/>
        <v>143555.47</v>
      </c>
      <c r="BV53" s="40">
        <f t="shared" si="54"/>
        <v>143555.47</v>
      </c>
      <c r="BW53" s="40">
        <f t="shared" si="54"/>
        <v>196955.47</v>
      </c>
      <c r="BX53" s="40">
        <f t="shared" si="54"/>
        <v>625991.13300000003</v>
      </c>
      <c r="BY53" s="40">
        <f t="shared" si="54"/>
        <v>151991.133</v>
      </c>
      <c r="BZ53" s="40">
        <f t="shared" si="54"/>
        <v>1001605.111</v>
      </c>
      <c r="CA53" s="40">
        <f t="shared" si="54"/>
        <v>319718.12199999997</v>
      </c>
      <c r="CB53" s="40">
        <f t="shared" si="54"/>
        <v>166018.122</v>
      </c>
      <c r="CC53" s="40">
        <f t="shared" si="54"/>
        <v>2441503.426</v>
      </c>
      <c r="CD53" s="40">
        <f t="shared" si="54"/>
        <v>162503.42600000001</v>
      </c>
      <c r="CE53" s="40">
        <f t="shared" si="54"/>
        <v>169503.42600000001</v>
      </c>
      <c r="CF53" s="40">
        <f t="shared" si="54"/>
        <v>2444988.73</v>
      </c>
      <c r="CG53" s="40">
        <f t="shared" si="54"/>
        <v>164988.72999999998</v>
      </c>
      <c r="CH53" s="40">
        <f t="shared" si="54"/>
        <v>164988.72999999998</v>
      </c>
      <c r="CI53" s="40">
        <f t="shared" si="54"/>
        <v>433808.73</v>
      </c>
      <c r="CJ53" s="40">
        <f t="shared" si="54"/>
        <v>790289.61400000006</v>
      </c>
      <c r="CK53" s="40">
        <f t="shared" si="54"/>
        <v>187289.614</v>
      </c>
      <c r="CL53" s="40">
        <f t="shared" si="54"/>
        <v>1320774.9180000001</v>
      </c>
      <c r="CM53" s="40">
        <f t="shared" si="54"/>
        <v>179032.266</v>
      </c>
      <c r="CN53" s="40">
        <f t="shared" si="54"/>
        <v>189032.266</v>
      </c>
      <c r="CO53" s="40">
        <f t="shared" si="54"/>
        <v>3223679.338</v>
      </c>
      <c r="CP53" s="40">
        <f t="shared" si="54"/>
        <v>184679.33799999999</v>
      </c>
      <c r="CQ53" s="40">
        <f t="shared" si="54"/>
        <v>370099.33799999999</v>
      </c>
      <c r="CR53" s="40">
        <f t="shared" si="54"/>
        <v>3241046.41</v>
      </c>
      <c r="CS53" s="40">
        <f t="shared" si="54"/>
        <v>201046.41</v>
      </c>
      <c r="CT53" s="40">
        <f t="shared" si="54"/>
        <v>201046.41</v>
      </c>
      <c r="CU53" s="40">
        <f t="shared" si="54"/>
        <v>347246.41000000003</v>
      </c>
    </row>
    <row r="54" spans="1:99" ht="15.75" customHeight="1" outlineLevel="3">
      <c r="A54" s="347"/>
      <c r="B54" s="21"/>
      <c r="C54" s="41"/>
      <c r="D54" s="4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</row>
    <row r="55" spans="1:99" ht="15.75" customHeight="1" outlineLevel="3">
      <c r="A55" s="347"/>
      <c r="B55" s="30">
        <v>1.1000000000000001</v>
      </c>
      <c r="C55" s="31" t="s">
        <v>376</v>
      </c>
      <c r="D55" s="355">
        <f t="shared" ref="D55:AI55" si="55">SUM(D56:D66)</f>
        <v>27600</v>
      </c>
      <c r="E55" s="355">
        <f t="shared" si="55"/>
        <v>2900</v>
      </c>
      <c r="F55" s="355">
        <f t="shared" si="55"/>
        <v>2900</v>
      </c>
      <c r="G55" s="355">
        <f t="shared" si="55"/>
        <v>2900</v>
      </c>
      <c r="H55" s="355">
        <f t="shared" si="55"/>
        <v>2900</v>
      </c>
      <c r="I55" s="355">
        <f t="shared" si="55"/>
        <v>2900</v>
      </c>
      <c r="J55" s="355">
        <f t="shared" si="55"/>
        <v>2900</v>
      </c>
      <c r="K55" s="355">
        <f t="shared" si="55"/>
        <v>2900</v>
      </c>
      <c r="L55" s="355">
        <f t="shared" si="55"/>
        <v>2900</v>
      </c>
      <c r="M55" s="355">
        <f t="shared" si="55"/>
        <v>2900</v>
      </c>
      <c r="N55" s="355">
        <f t="shared" si="55"/>
        <v>2900</v>
      </c>
      <c r="O55" s="355">
        <f t="shared" si="55"/>
        <v>3900</v>
      </c>
      <c r="P55" s="355">
        <f t="shared" si="55"/>
        <v>3900</v>
      </c>
      <c r="Q55" s="355">
        <f t="shared" si="55"/>
        <v>2900</v>
      </c>
      <c r="R55" s="355">
        <f t="shared" si="55"/>
        <v>2900</v>
      </c>
      <c r="S55" s="355">
        <f t="shared" si="55"/>
        <v>2900</v>
      </c>
      <c r="T55" s="355">
        <f t="shared" si="55"/>
        <v>2900</v>
      </c>
      <c r="U55" s="355">
        <f t="shared" si="55"/>
        <v>2900</v>
      </c>
      <c r="V55" s="355">
        <f t="shared" si="55"/>
        <v>2900</v>
      </c>
      <c r="W55" s="355">
        <f t="shared" si="55"/>
        <v>2900</v>
      </c>
      <c r="X55" s="355">
        <f t="shared" si="55"/>
        <v>2900</v>
      </c>
      <c r="Y55" s="355">
        <f t="shared" si="55"/>
        <v>2900</v>
      </c>
      <c r="Z55" s="355">
        <f t="shared" si="55"/>
        <v>2900</v>
      </c>
      <c r="AA55" s="355">
        <f t="shared" si="55"/>
        <v>3900</v>
      </c>
      <c r="AB55" s="355">
        <f t="shared" si="55"/>
        <v>3900</v>
      </c>
      <c r="AC55" s="355">
        <f t="shared" si="55"/>
        <v>2900</v>
      </c>
      <c r="AD55" s="355">
        <f t="shared" si="55"/>
        <v>2900</v>
      </c>
      <c r="AE55" s="355">
        <f t="shared" si="55"/>
        <v>2900</v>
      </c>
      <c r="AF55" s="355">
        <f t="shared" si="55"/>
        <v>2900</v>
      </c>
      <c r="AG55" s="355">
        <f t="shared" si="55"/>
        <v>2900</v>
      </c>
      <c r="AH55" s="355">
        <f t="shared" si="55"/>
        <v>2900</v>
      </c>
      <c r="AI55" s="355">
        <f t="shared" si="55"/>
        <v>2900</v>
      </c>
      <c r="AJ55" s="355">
        <f t="shared" ref="AJ55:BO55" si="56">SUM(AJ56:AJ66)</f>
        <v>2900</v>
      </c>
      <c r="AK55" s="355">
        <f t="shared" si="56"/>
        <v>2900</v>
      </c>
      <c r="AL55" s="355">
        <f t="shared" si="56"/>
        <v>2900</v>
      </c>
      <c r="AM55" s="355">
        <f t="shared" si="56"/>
        <v>3900</v>
      </c>
      <c r="AN55" s="355">
        <f t="shared" si="56"/>
        <v>2900</v>
      </c>
      <c r="AO55" s="355">
        <f t="shared" si="56"/>
        <v>3900</v>
      </c>
      <c r="AP55" s="355">
        <f t="shared" si="56"/>
        <v>2900</v>
      </c>
      <c r="AQ55" s="355">
        <f t="shared" si="56"/>
        <v>2900</v>
      </c>
      <c r="AR55" s="355">
        <f t="shared" si="56"/>
        <v>12900</v>
      </c>
      <c r="AS55" s="355">
        <f t="shared" si="56"/>
        <v>2900</v>
      </c>
      <c r="AT55" s="355">
        <f t="shared" si="56"/>
        <v>3900</v>
      </c>
      <c r="AU55" s="355">
        <f t="shared" si="56"/>
        <v>2900</v>
      </c>
      <c r="AV55" s="355">
        <f t="shared" si="56"/>
        <v>12900</v>
      </c>
      <c r="AW55" s="355">
        <f t="shared" si="56"/>
        <v>2900</v>
      </c>
      <c r="AX55" s="355">
        <f t="shared" si="56"/>
        <v>2900</v>
      </c>
      <c r="AY55" s="355">
        <f t="shared" si="56"/>
        <v>2900</v>
      </c>
      <c r="AZ55" s="355">
        <f t="shared" si="56"/>
        <v>4900</v>
      </c>
      <c r="BA55" s="355">
        <f t="shared" si="56"/>
        <v>2900</v>
      </c>
      <c r="BB55" s="355">
        <f t="shared" si="56"/>
        <v>2900</v>
      </c>
      <c r="BC55" s="355">
        <f t="shared" si="56"/>
        <v>427800</v>
      </c>
      <c r="BD55" s="355">
        <f t="shared" si="56"/>
        <v>2550</v>
      </c>
      <c r="BE55" s="355">
        <f t="shared" si="56"/>
        <v>2550</v>
      </c>
      <c r="BF55" s="355">
        <f t="shared" si="56"/>
        <v>3550</v>
      </c>
      <c r="BG55" s="355">
        <f t="shared" si="56"/>
        <v>2550</v>
      </c>
      <c r="BH55" s="355">
        <f t="shared" si="56"/>
        <v>2550</v>
      </c>
      <c r="BI55" s="355">
        <f t="shared" si="56"/>
        <v>2550</v>
      </c>
      <c r="BJ55" s="355">
        <f t="shared" si="56"/>
        <v>2550</v>
      </c>
      <c r="BK55" s="355">
        <f t="shared" si="56"/>
        <v>2550</v>
      </c>
      <c r="BL55" s="355">
        <f t="shared" si="56"/>
        <v>26550</v>
      </c>
      <c r="BM55" s="355">
        <f t="shared" si="56"/>
        <v>2000</v>
      </c>
      <c r="BN55" s="355">
        <f t="shared" si="56"/>
        <v>2000</v>
      </c>
      <c r="BO55" s="355">
        <f t="shared" si="56"/>
        <v>2000</v>
      </c>
      <c r="BP55" s="355">
        <f t="shared" ref="BP55:CU55" si="57">SUM(BP56:BP66)</f>
        <v>2000</v>
      </c>
      <c r="BQ55" s="355">
        <f t="shared" si="57"/>
        <v>2000</v>
      </c>
      <c r="BR55" s="355">
        <f t="shared" si="57"/>
        <v>3000</v>
      </c>
      <c r="BS55" s="355">
        <f t="shared" si="57"/>
        <v>2000</v>
      </c>
      <c r="BT55" s="355">
        <f t="shared" si="57"/>
        <v>2000</v>
      </c>
      <c r="BU55" s="355">
        <f t="shared" si="57"/>
        <v>2000</v>
      </c>
      <c r="BV55" s="355">
        <f t="shared" si="57"/>
        <v>2000</v>
      </c>
      <c r="BW55" s="355">
        <f t="shared" si="57"/>
        <v>2000</v>
      </c>
      <c r="BX55" s="355">
        <f t="shared" si="57"/>
        <v>26000</v>
      </c>
      <c r="BY55" s="355">
        <f t="shared" si="57"/>
        <v>2000</v>
      </c>
      <c r="BZ55" s="355">
        <f t="shared" si="57"/>
        <v>2000</v>
      </c>
      <c r="CA55" s="355">
        <f t="shared" si="57"/>
        <v>2000</v>
      </c>
      <c r="CB55" s="355">
        <f t="shared" si="57"/>
        <v>2000</v>
      </c>
      <c r="CC55" s="355">
        <f t="shared" si="57"/>
        <v>2000</v>
      </c>
      <c r="CD55" s="355">
        <f t="shared" si="57"/>
        <v>3000</v>
      </c>
      <c r="CE55" s="355">
        <f t="shared" si="57"/>
        <v>2000</v>
      </c>
      <c r="CF55" s="355">
        <f t="shared" si="57"/>
        <v>2000</v>
      </c>
      <c r="CG55" s="355">
        <f t="shared" si="57"/>
        <v>2000</v>
      </c>
      <c r="CH55" s="355">
        <f t="shared" si="57"/>
        <v>2000</v>
      </c>
      <c r="CI55" s="355">
        <f t="shared" si="57"/>
        <v>2000</v>
      </c>
      <c r="CJ55" s="355">
        <f t="shared" si="57"/>
        <v>26000</v>
      </c>
      <c r="CK55" s="355">
        <f t="shared" si="57"/>
        <v>2000</v>
      </c>
      <c r="CL55" s="355">
        <f t="shared" si="57"/>
        <v>2000</v>
      </c>
      <c r="CM55" s="355">
        <f t="shared" si="57"/>
        <v>2000</v>
      </c>
      <c r="CN55" s="355">
        <f t="shared" si="57"/>
        <v>2000</v>
      </c>
      <c r="CO55" s="355">
        <f t="shared" si="57"/>
        <v>2000</v>
      </c>
      <c r="CP55" s="355">
        <f t="shared" si="57"/>
        <v>3000</v>
      </c>
      <c r="CQ55" s="355">
        <f t="shared" si="57"/>
        <v>2000</v>
      </c>
      <c r="CR55" s="355">
        <f t="shared" si="57"/>
        <v>2000</v>
      </c>
      <c r="CS55" s="355">
        <f t="shared" si="57"/>
        <v>2000</v>
      </c>
      <c r="CT55" s="355">
        <f t="shared" si="57"/>
        <v>2000</v>
      </c>
      <c r="CU55" s="355">
        <f t="shared" si="57"/>
        <v>2000</v>
      </c>
    </row>
    <row r="56" spans="1:99" ht="15.75" customHeight="1" outlineLevel="4">
      <c r="A56" s="400"/>
      <c r="B56" s="21"/>
      <c r="C56" s="84" t="s">
        <v>46</v>
      </c>
      <c r="D56" s="53">
        <v>2000</v>
      </c>
      <c r="E56" s="53">
        <v>2000</v>
      </c>
      <c r="F56" s="53">
        <v>2000</v>
      </c>
      <c r="G56" s="53">
        <v>2000</v>
      </c>
      <c r="H56" s="53">
        <v>2000</v>
      </c>
      <c r="I56" s="53">
        <v>2000</v>
      </c>
      <c r="J56" s="53">
        <v>2000</v>
      </c>
      <c r="K56" s="53">
        <v>2000</v>
      </c>
      <c r="L56" s="53">
        <v>2000</v>
      </c>
      <c r="M56" s="53">
        <v>2000</v>
      </c>
      <c r="N56" s="53">
        <v>2000</v>
      </c>
      <c r="O56" s="53">
        <v>2000</v>
      </c>
      <c r="P56" s="53">
        <v>2000</v>
      </c>
      <c r="Q56" s="53">
        <v>2000</v>
      </c>
      <c r="R56" s="53">
        <v>2000</v>
      </c>
      <c r="S56" s="53">
        <v>2000</v>
      </c>
      <c r="T56" s="53">
        <v>2000</v>
      </c>
      <c r="U56" s="53">
        <v>2000</v>
      </c>
      <c r="V56" s="53">
        <v>2000</v>
      </c>
      <c r="W56" s="53">
        <v>2000</v>
      </c>
      <c r="X56" s="53">
        <v>2000</v>
      </c>
      <c r="Y56" s="53">
        <v>2000</v>
      </c>
      <c r="Z56" s="53">
        <v>2000</v>
      </c>
      <c r="AA56" s="53">
        <v>2000</v>
      </c>
      <c r="AB56" s="53">
        <v>2000</v>
      </c>
      <c r="AC56" s="53">
        <v>2000</v>
      </c>
      <c r="AD56" s="53">
        <v>2000</v>
      </c>
      <c r="AE56" s="53">
        <v>2000</v>
      </c>
      <c r="AF56" s="53">
        <v>2000</v>
      </c>
      <c r="AG56" s="53">
        <v>2000</v>
      </c>
      <c r="AH56" s="53">
        <v>2000</v>
      </c>
      <c r="AI56" s="53">
        <v>2000</v>
      </c>
      <c r="AJ56" s="53">
        <v>2000</v>
      </c>
      <c r="AK56" s="53">
        <v>2000</v>
      </c>
      <c r="AL56" s="53">
        <v>2000</v>
      </c>
      <c r="AM56" s="53">
        <v>2000</v>
      </c>
      <c r="AN56" s="53">
        <v>2000</v>
      </c>
      <c r="AO56" s="53">
        <v>2000</v>
      </c>
      <c r="AP56" s="53">
        <v>2000</v>
      </c>
      <c r="AQ56" s="53">
        <v>2000</v>
      </c>
      <c r="AR56" s="53">
        <v>2000</v>
      </c>
      <c r="AS56" s="53">
        <v>2000</v>
      </c>
      <c r="AT56" s="53">
        <v>2000</v>
      </c>
      <c r="AU56" s="53">
        <v>2000</v>
      </c>
      <c r="AV56" s="53">
        <v>2000</v>
      </c>
      <c r="AW56" s="53">
        <v>2000</v>
      </c>
      <c r="AX56" s="53">
        <v>2000</v>
      </c>
      <c r="AY56" s="53">
        <v>2000</v>
      </c>
      <c r="AZ56" s="53">
        <v>2000</v>
      </c>
      <c r="BA56" s="53">
        <v>2000</v>
      </c>
      <c r="BB56" s="53">
        <v>2000</v>
      </c>
      <c r="BC56" s="53">
        <v>2000</v>
      </c>
      <c r="BD56" s="53">
        <v>2000</v>
      </c>
      <c r="BE56" s="53">
        <v>2000</v>
      </c>
      <c r="BF56" s="53">
        <v>2000</v>
      </c>
      <c r="BG56" s="53">
        <v>2000</v>
      </c>
      <c r="BH56" s="53">
        <v>2000</v>
      </c>
      <c r="BI56" s="53">
        <v>2000</v>
      </c>
      <c r="BJ56" s="53">
        <v>2000</v>
      </c>
      <c r="BK56" s="53">
        <v>2000</v>
      </c>
      <c r="BL56" s="53">
        <v>2000</v>
      </c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</row>
    <row r="57" spans="1:99" s="251" customFormat="1" ht="15.75" customHeight="1" outlineLevel="4">
      <c r="A57" s="400"/>
      <c r="B57" s="21"/>
      <c r="C57" s="84" t="s">
        <v>375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>
        <v>60000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</row>
    <row r="58" spans="1:99" ht="15.75" customHeight="1" outlineLevel="4">
      <c r="A58" s="347"/>
      <c r="B58" s="21"/>
      <c r="C58" s="84" t="s">
        <v>47</v>
      </c>
      <c r="D58" s="53">
        <v>13700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356"/>
      <c r="BA58" s="357"/>
      <c r="BB58" s="357"/>
      <c r="BC58" s="357">
        <v>82000</v>
      </c>
      <c r="BD58" s="357"/>
      <c r="BE58" s="357"/>
      <c r="BF58" s="357"/>
      <c r="BG58" s="357"/>
      <c r="BH58" s="357"/>
      <c r="BI58" s="357"/>
      <c r="BJ58" s="357"/>
      <c r="BK58" s="358"/>
      <c r="BL58" s="356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8"/>
      <c r="BX58" s="356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8"/>
      <c r="CJ58" s="356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8"/>
    </row>
    <row r="59" spans="1:99" s="251" customFormat="1" ht="15.75" customHeight="1" outlineLevel="4">
      <c r="A59" s="347"/>
      <c r="B59" s="21"/>
      <c r="C59" s="84" t="s">
        <v>378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359"/>
      <c r="BA59" s="358"/>
      <c r="BB59" s="358"/>
      <c r="BC59" s="358">
        <v>110000</v>
      </c>
      <c r="BD59" s="358"/>
      <c r="BE59" s="358"/>
      <c r="BF59" s="358"/>
      <c r="BG59" s="358"/>
      <c r="BH59" s="358"/>
      <c r="BI59" s="358"/>
      <c r="BJ59" s="358"/>
      <c r="BK59" s="358"/>
      <c r="BL59" s="359"/>
      <c r="BM59" s="358"/>
      <c r="BN59" s="358"/>
      <c r="BO59" s="358"/>
      <c r="BP59" s="358"/>
      <c r="BQ59" s="358"/>
      <c r="BR59" s="358"/>
      <c r="BS59" s="358"/>
      <c r="BT59" s="358"/>
      <c r="BU59" s="358"/>
      <c r="BV59" s="358"/>
      <c r="BW59" s="358"/>
      <c r="BX59" s="359"/>
      <c r="BY59" s="358"/>
      <c r="BZ59" s="358"/>
      <c r="CA59" s="358"/>
      <c r="CB59" s="358"/>
      <c r="CC59" s="358"/>
      <c r="CD59" s="358"/>
      <c r="CE59" s="358"/>
      <c r="CF59" s="358"/>
      <c r="CG59" s="358"/>
      <c r="CH59" s="358"/>
      <c r="CI59" s="358"/>
      <c r="CJ59" s="359"/>
      <c r="CK59" s="358"/>
      <c r="CL59" s="358"/>
      <c r="CM59" s="358"/>
      <c r="CN59" s="358"/>
      <c r="CO59" s="358"/>
      <c r="CP59" s="358"/>
      <c r="CQ59" s="358"/>
      <c r="CR59" s="358"/>
      <c r="CS59" s="358"/>
      <c r="CT59" s="358"/>
      <c r="CU59" s="358"/>
    </row>
    <row r="60" spans="1:99" ht="15.75" customHeight="1" outlineLevel="4">
      <c r="A60" s="347"/>
      <c r="B60" s="28"/>
      <c r="C60" s="84" t="s">
        <v>48</v>
      </c>
      <c r="D60" s="53">
        <v>150</v>
      </c>
      <c r="E60" s="53">
        <v>150</v>
      </c>
      <c r="F60" s="53">
        <v>150</v>
      </c>
      <c r="G60" s="53">
        <v>150</v>
      </c>
      <c r="H60" s="53">
        <v>150</v>
      </c>
      <c r="I60" s="53">
        <v>150</v>
      </c>
      <c r="J60" s="53">
        <v>150</v>
      </c>
      <c r="K60" s="53">
        <v>150</v>
      </c>
      <c r="L60" s="53">
        <v>150</v>
      </c>
      <c r="M60" s="53">
        <v>150</v>
      </c>
      <c r="N60" s="53">
        <v>150</v>
      </c>
      <c r="O60" s="53">
        <v>150</v>
      </c>
      <c r="P60" s="53">
        <v>150</v>
      </c>
      <c r="Q60" s="53">
        <v>150</v>
      </c>
      <c r="R60" s="53">
        <v>150</v>
      </c>
      <c r="S60" s="53">
        <v>150</v>
      </c>
      <c r="T60" s="53">
        <v>150</v>
      </c>
      <c r="U60" s="53">
        <v>150</v>
      </c>
      <c r="V60" s="53">
        <v>150</v>
      </c>
      <c r="W60" s="53">
        <v>150</v>
      </c>
      <c r="X60" s="53">
        <v>150</v>
      </c>
      <c r="Y60" s="53">
        <v>150</v>
      </c>
      <c r="Z60" s="53">
        <v>150</v>
      </c>
      <c r="AA60" s="53">
        <v>150</v>
      </c>
      <c r="AB60" s="53">
        <v>150</v>
      </c>
      <c r="AC60" s="53">
        <v>150</v>
      </c>
      <c r="AD60" s="53">
        <v>150</v>
      </c>
      <c r="AE60" s="53">
        <v>150</v>
      </c>
      <c r="AF60" s="53">
        <v>150</v>
      </c>
      <c r="AG60" s="53">
        <v>150</v>
      </c>
      <c r="AH60" s="53">
        <v>150</v>
      </c>
      <c r="AI60" s="53">
        <v>150</v>
      </c>
      <c r="AJ60" s="53">
        <v>150</v>
      </c>
      <c r="AK60" s="53">
        <v>150</v>
      </c>
      <c r="AL60" s="53">
        <v>150</v>
      </c>
      <c r="AM60" s="53">
        <v>150</v>
      </c>
      <c r="AN60" s="53">
        <v>150</v>
      </c>
      <c r="AO60" s="53">
        <v>150</v>
      </c>
      <c r="AP60" s="53">
        <v>150</v>
      </c>
      <c r="AQ60" s="53">
        <v>150</v>
      </c>
      <c r="AR60" s="53">
        <v>150</v>
      </c>
      <c r="AS60" s="53">
        <v>150</v>
      </c>
      <c r="AT60" s="53">
        <v>150</v>
      </c>
      <c r="AU60" s="53">
        <v>150</v>
      </c>
      <c r="AV60" s="53">
        <v>150</v>
      </c>
      <c r="AW60" s="53">
        <v>150</v>
      </c>
      <c r="AX60" s="53">
        <v>150</v>
      </c>
      <c r="AY60" s="53">
        <v>150</v>
      </c>
      <c r="AZ60" s="53">
        <v>150</v>
      </c>
      <c r="BA60" s="53">
        <v>150</v>
      </c>
      <c r="BB60" s="53">
        <v>150</v>
      </c>
      <c r="BC60" s="53">
        <v>10800</v>
      </c>
      <c r="BD60" s="53">
        <v>150</v>
      </c>
      <c r="BE60" s="53">
        <v>150</v>
      </c>
      <c r="BF60" s="53">
        <v>150</v>
      </c>
      <c r="BG60" s="53">
        <v>150</v>
      </c>
      <c r="BH60" s="53">
        <v>150</v>
      </c>
      <c r="BI60" s="53">
        <v>150</v>
      </c>
      <c r="BJ60" s="53">
        <v>150</v>
      </c>
      <c r="BK60" s="53">
        <v>150</v>
      </c>
      <c r="BL60" s="53">
        <v>150</v>
      </c>
      <c r="BM60" s="53">
        <v>1000</v>
      </c>
      <c r="BN60" s="53">
        <v>1000</v>
      </c>
      <c r="BO60" s="53">
        <v>1000</v>
      </c>
      <c r="BP60" s="53">
        <v>1000</v>
      </c>
      <c r="BQ60" s="53">
        <v>1000</v>
      </c>
      <c r="BR60" s="53">
        <v>1000</v>
      </c>
      <c r="BS60" s="53">
        <v>1000</v>
      </c>
      <c r="BT60" s="53">
        <v>1000</v>
      </c>
      <c r="BU60" s="53">
        <v>1000</v>
      </c>
      <c r="BV60" s="53">
        <v>1000</v>
      </c>
      <c r="BW60" s="53">
        <v>1000</v>
      </c>
      <c r="BX60" s="53">
        <v>1000</v>
      </c>
      <c r="BY60" s="53">
        <v>1000</v>
      </c>
      <c r="BZ60" s="53">
        <v>1000</v>
      </c>
      <c r="CA60" s="53">
        <v>1000</v>
      </c>
      <c r="CB60" s="53">
        <v>1000</v>
      </c>
      <c r="CC60" s="53">
        <v>1000</v>
      </c>
      <c r="CD60" s="53">
        <v>1000</v>
      </c>
      <c r="CE60" s="53">
        <v>1000</v>
      </c>
      <c r="CF60" s="53">
        <v>1000</v>
      </c>
      <c r="CG60" s="53">
        <v>1000</v>
      </c>
      <c r="CH60" s="53">
        <v>1000</v>
      </c>
      <c r="CI60" s="53">
        <v>1000</v>
      </c>
      <c r="CJ60" s="53">
        <v>1000</v>
      </c>
      <c r="CK60" s="53">
        <v>1000</v>
      </c>
      <c r="CL60" s="53">
        <v>1000</v>
      </c>
      <c r="CM60" s="53">
        <v>1000</v>
      </c>
      <c r="CN60" s="53">
        <v>1000</v>
      </c>
      <c r="CO60" s="53">
        <v>1000</v>
      </c>
      <c r="CP60" s="53">
        <v>1000</v>
      </c>
      <c r="CQ60" s="53">
        <v>1000</v>
      </c>
      <c r="CR60" s="53">
        <v>1000</v>
      </c>
      <c r="CS60" s="53">
        <v>1000</v>
      </c>
      <c r="CT60" s="53">
        <v>1000</v>
      </c>
      <c r="CU60" s="53">
        <v>1000</v>
      </c>
    </row>
    <row r="61" spans="1:99" ht="15.75" customHeight="1" outlineLevel="4">
      <c r="A61" s="400"/>
      <c r="B61" s="28"/>
      <c r="C61" s="84" t="s">
        <v>50</v>
      </c>
      <c r="D61" s="53">
        <v>400</v>
      </c>
      <c r="E61" s="53">
        <v>400</v>
      </c>
      <c r="F61" s="53">
        <v>400</v>
      </c>
      <c r="G61" s="53">
        <v>400</v>
      </c>
      <c r="H61" s="53">
        <v>400</v>
      </c>
      <c r="I61" s="53">
        <v>400</v>
      </c>
      <c r="J61" s="53">
        <v>400</v>
      </c>
      <c r="K61" s="53">
        <v>400</v>
      </c>
      <c r="L61" s="53">
        <v>400</v>
      </c>
      <c r="M61" s="53">
        <v>400</v>
      </c>
      <c r="N61" s="53">
        <v>400</v>
      </c>
      <c r="O61" s="53">
        <v>400</v>
      </c>
      <c r="P61" s="53">
        <v>400</v>
      </c>
      <c r="Q61" s="53">
        <v>400</v>
      </c>
      <c r="R61" s="53">
        <v>400</v>
      </c>
      <c r="S61" s="53">
        <v>400</v>
      </c>
      <c r="T61" s="53">
        <v>400</v>
      </c>
      <c r="U61" s="53">
        <v>400</v>
      </c>
      <c r="V61" s="53">
        <v>400</v>
      </c>
      <c r="W61" s="53">
        <v>400</v>
      </c>
      <c r="X61" s="53">
        <v>400</v>
      </c>
      <c r="Y61" s="53">
        <v>400</v>
      </c>
      <c r="Z61" s="53">
        <v>400</v>
      </c>
      <c r="AA61" s="53">
        <v>400</v>
      </c>
      <c r="AB61" s="53">
        <v>400</v>
      </c>
      <c r="AC61" s="53">
        <v>400</v>
      </c>
      <c r="AD61" s="53">
        <v>400</v>
      </c>
      <c r="AE61" s="53">
        <v>400</v>
      </c>
      <c r="AF61" s="53">
        <v>400</v>
      </c>
      <c r="AG61" s="53">
        <v>400</v>
      </c>
      <c r="AH61" s="53">
        <v>400</v>
      </c>
      <c r="AI61" s="53">
        <v>400</v>
      </c>
      <c r="AJ61" s="53">
        <v>400</v>
      </c>
      <c r="AK61" s="53">
        <v>400</v>
      </c>
      <c r="AL61" s="53">
        <v>400</v>
      </c>
      <c r="AM61" s="53">
        <v>400</v>
      </c>
      <c r="AN61" s="53">
        <v>400</v>
      </c>
      <c r="AO61" s="53">
        <v>400</v>
      </c>
      <c r="AP61" s="53">
        <v>400</v>
      </c>
      <c r="AQ61" s="53">
        <v>400</v>
      </c>
      <c r="AR61" s="53">
        <v>400</v>
      </c>
      <c r="AS61" s="53">
        <v>400</v>
      </c>
      <c r="AT61" s="53">
        <v>400</v>
      </c>
      <c r="AU61" s="53">
        <v>400</v>
      </c>
      <c r="AV61" s="53">
        <v>400</v>
      </c>
      <c r="AW61" s="53">
        <v>400</v>
      </c>
      <c r="AX61" s="53">
        <v>400</v>
      </c>
      <c r="AY61" s="53">
        <v>400</v>
      </c>
      <c r="AZ61" s="53">
        <v>400</v>
      </c>
      <c r="BA61" s="53">
        <v>400</v>
      </c>
      <c r="BB61" s="53">
        <v>400</v>
      </c>
      <c r="BC61" s="53">
        <v>1000</v>
      </c>
      <c r="BD61" s="53">
        <v>400</v>
      </c>
      <c r="BE61" s="53">
        <v>400</v>
      </c>
      <c r="BF61" s="53">
        <v>400</v>
      </c>
      <c r="BG61" s="53">
        <v>400</v>
      </c>
      <c r="BH61" s="53">
        <v>400</v>
      </c>
      <c r="BI61" s="53">
        <v>400</v>
      </c>
      <c r="BJ61" s="53">
        <v>400</v>
      </c>
      <c r="BK61" s="53">
        <v>400</v>
      </c>
      <c r="BL61" s="53">
        <v>400</v>
      </c>
      <c r="BM61" s="53">
        <v>1000</v>
      </c>
      <c r="BN61" s="53">
        <v>1000</v>
      </c>
      <c r="BO61" s="53">
        <v>1000</v>
      </c>
      <c r="BP61" s="53">
        <v>1000</v>
      </c>
      <c r="BQ61" s="53">
        <v>1000</v>
      </c>
      <c r="BR61" s="53">
        <v>1000</v>
      </c>
      <c r="BS61" s="53">
        <v>1000</v>
      </c>
      <c r="BT61" s="53">
        <v>1000</v>
      </c>
      <c r="BU61" s="53">
        <v>1000</v>
      </c>
      <c r="BV61" s="53">
        <v>1000</v>
      </c>
      <c r="BW61" s="53">
        <v>1000</v>
      </c>
      <c r="BX61" s="53">
        <v>1000</v>
      </c>
      <c r="BY61" s="53">
        <v>1000</v>
      </c>
      <c r="BZ61" s="53">
        <v>1000</v>
      </c>
      <c r="CA61" s="53">
        <v>1000</v>
      </c>
      <c r="CB61" s="53">
        <v>1000</v>
      </c>
      <c r="CC61" s="53">
        <v>1000</v>
      </c>
      <c r="CD61" s="53">
        <v>1000</v>
      </c>
      <c r="CE61" s="53">
        <v>1000</v>
      </c>
      <c r="CF61" s="53">
        <v>1000</v>
      </c>
      <c r="CG61" s="53">
        <v>1000</v>
      </c>
      <c r="CH61" s="53">
        <v>1000</v>
      </c>
      <c r="CI61" s="53">
        <v>1000</v>
      </c>
      <c r="CJ61" s="53">
        <v>1000</v>
      </c>
      <c r="CK61" s="53">
        <v>1000</v>
      </c>
      <c r="CL61" s="53">
        <v>1000</v>
      </c>
      <c r="CM61" s="53">
        <v>1000</v>
      </c>
      <c r="CN61" s="53">
        <v>1000</v>
      </c>
      <c r="CO61" s="53">
        <v>1000</v>
      </c>
      <c r="CP61" s="53">
        <v>1000</v>
      </c>
      <c r="CQ61" s="53">
        <v>1000</v>
      </c>
      <c r="CR61" s="53">
        <v>1000</v>
      </c>
      <c r="CS61" s="53">
        <v>1000</v>
      </c>
      <c r="CT61" s="53">
        <v>1000</v>
      </c>
      <c r="CU61" s="53">
        <v>1000</v>
      </c>
    </row>
    <row r="62" spans="1:99" s="251" customFormat="1" ht="15.75" customHeight="1" outlineLevel="4">
      <c r="A62" s="400"/>
      <c r="B62" s="28"/>
      <c r="C62" s="84" t="s">
        <v>379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>
        <v>140000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</row>
    <row r="63" spans="1:99" ht="15.75" customHeight="1" outlineLevel="4">
      <c r="A63" s="347"/>
      <c r="B63" s="28"/>
      <c r="C63" s="87" t="s">
        <v>51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>
        <v>1000</v>
      </c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>
        <v>1000</v>
      </c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>
        <v>1000</v>
      </c>
      <c r="AN63" s="53"/>
      <c r="AO63" s="53"/>
      <c r="AP63" s="53"/>
      <c r="AQ63" s="53"/>
      <c r="AR63" s="53"/>
      <c r="AS63" s="53"/>
      <c r="AT63" s="53">
        <v>1000</v>
      </c>
      <c r="AU63" s="53"/>
      <c r="AV63" s="53"/>
      <c r="AW63" s="53"/>
      <c r="AX63" s="53"/>
      <c r="AY63" s="53"/>
      <c r="AZ63" s="356"/>
      <c r="BA63" s="357"/>
      <c r="BB63" s="357"/>
      <c r="BC63" s="357"/>
      <c r="BD63" s="357"/>
      <c r="BE63" s="357"/>
      <c r="BF63" s="53">
        <v>1000</v>
      </c>
      <c r="BG63" s="357"/>
      <c r="BH63" s="357"/>
      <c r="BI63" s="357"/>
      <c r="BJ63" s="357"/>
      <c r="BK63" s="358"/>
      <c r="BL63" s="356"/>
      <c r="BM63" s="357"/>
      <c r="BN63" s="357"/>
      <c r="BO63" s="357"/>
      <c r="BP63" s="357"/>
      <c r="BQ63" s="357"/>
      <c r="BR63" s="53">
        <v>1000</v>
      </c>
      <c r="BS63" s="357"/>
      <c r="BT63" s="357"/>
      <c r="BU63" s="357"/>
      <c r="BV63" s="357"/>
      <c r="BW63" s="358"/>
      <c r="BX63" s="356"/>
      <c r="BY63" s="357"/>
      <c r="BZ63" s="357"/>
      <c r="CA63" s="357"/>
      <c r="CB63" s="357"/>
      <c r="CC63" s="357"/>
      <c r="CD63" s="53">
        <v>1000</v>
      </c>
      <c r="CE63" s="357"/>
      <c r="CF63" s="357"/>
      <c r="CG63" s="357"/>
      <c r="CH63" s="357"/>
      <c r="CI63" s="358"/>
      <c r="CJ63" s="356"/>
      <c r="CK63" s="357"/>
      <c r="CL63" s="357"/>
      <c r="CM63" s="357"/>
      <c r="CN63" s="357"/>
      <c r="CO63" s="357"/>
      <c r="CP63" s="53">
        <v>1000</v>
      </c>
      <c r="CQ63" s="357"/>
      <c r="CR63" s="357"/>
      <c r="CS63" s="357"/>
      <c r="CT63" s="357"/>
      <c r="CU63" s="358"/>
    </row>
    <row r="64" spans="1:99" ht="15.75" customHeight="1" outlineLevel="4">
      <c r="A64" s="347"/>
      <c r="B64" s="28"/>
      <c r="C64" s="87" t="s">
        <v>52</v>
      </c>
      <c r="D64" s="53">
        <v>10000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>
        <v>10000</v>
      </c>
      <c r="AS64" s="53"/>
      <c r="AT64" s="53"/>
      <c r="AU64" s="53"/>
      <c r="AV64" s="53">
        <v>10000</v>
      </c>
      <c r="AW64" s="53"/>
      <c r="AX64" s="53"/>
      <c r="AY64" s="53"/>
      <c r="AZ64" s="356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8"/>
      <c r="BL64" s="356"/>
      <c r="BM64" s="53"/>
      <c r="BN64" s="357"/>
      <c r="BO64" s="357"/>
      <c r="BP64" s="357"/>
      <c r="BQ64" s="357"/>
      <c r="BR64" s="357"/>
      <c r="BS64" s="357"/>
      <c r="BT64" s="357"/>
      <c r="BU64" s="357"/>
      <c r="BV64" s="357"/>
      <c r="BW64" s="358"/>
      <c r="BX64" s="356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8"/>
      <c r="CJ64" s="356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8"/>
    </row>
    <row r="65" spans="1:100" ht="15.75" customHeight="1" outlineLevel="4">
      <c r="A65" s="347"/>
      <c r="B65" s="28"/>
      <c r="C65" s="84" t="s">
        <v>53</v>
      </c>
      <c r="D65" s="53">
        <v>350</v>
      </c>
      <c r="E65" s="53">
        <v>350</v>
      </c>
      <c r="F65" s="53">
        <v>350</v>
      </c>
      <c r="G65" s="53">
        <v>350</v>
      </c>
      <c r="H65" s="53">
        <v>350</v>
      </c>
      <c r="I65" s="53">
        <v>350</v>
      </c>
      <c r="J65" s="53">
        <v>350</v>
      </c>
      <c r="K65" s="53">
        <v>350</v>
      </c>
      <c r="L65" s="53">
        <v>350</v>
      </c>
      <c r="M65" s="53">
        <v>350</v>
      </c>
      <c r="N65" s="53">
        <v>350</v>
      </c>
      <c r="O65" s="53">
        <v>350</v>
      </c>
      <c r="P65" s="53">
        <v>350</v>
      </c>
      <c r="Q65" s="53">
        <v>350</v>
      </c>
      <c r="R65" s="53">
        <v>350</v>
      </c>
      <c r="S65" s="53">
        <v>350</v>
      </c>
      <c r="T65" s="53">
        <v>350</v>
      </c>
      <c r="U65" s="53">
        <v>350</v>
      </c>
      <c r="V65" s="53">
        <v>350</v>
      </c>
      <c r="W65" s="53">
        <v>350</v>
      </c>
      <c r="X65" s="53">
        <v>350</v>
      </c>
      <c r="Y65" s="53">
        <v>350</v>
      </c>
      <c r="Z65" s="53">
        <v>350</v>
      </c>
      <c r="AA65" s="53">
        <v>350</v>
      </c>
      <c r="AB65" s="53">
        <v>350</v>
      </c>
      <c r="AC65" s="53">
        <v>350</v>
      </c>
      <c r="AD65" s="53">
        <v>350</v>
      </c>
      <c r="AE65" s="53">
        <v>350</v>
      </c>
      <c r="AF65" s="53">
        <v>350</v>
      </c>
      <c r="AG65" s="53">
        <v>350</v>
      </c>
      <c r="AH65" s="53">
        <v>350</v>
      </c>
      <c r="AI65" s="53">
        <v>350</v>
      </c>
      <c r="AJ65" s="53">
        <v>350</v>
      </c>
      <c r="AK65" s="53">
        <v>350</v>
      </c>
      <c r="AL65" s="53">
        <v>350</v>
      </c>
      <c r="AM65" s="53">
        <v>350</v>
      </c>
      <c r="AN65" s="53">
        <v>350</v>
      </c>
      <c r="AO65" s="53">
        <v>350</v>
      </c>
      <c r="AP65" s="53">
        <v>350</v>
      </c>
      <c r="AQ65" s="53">
        <v>350</v>
      </c>
      <c r="AR65" s="53">
        <v>350</v>
      </c>
      <c r="AS65" s="53">
        <v>350</v>
      </c>
      <c r="AT65" s="53">
        <v>350</v>
      </c>
      <c r="AU65" s="53">
        <v>350</v>
      </c>
      <c r="AV65" s="53">
        <v>350</v>
      </c>
      <c r="AW65" s="53">
        <v>350</v>
      </c>
      <c r="AX65" s="53">
        <v>350</v>
      </c>
      <c r="AY65" s="53">
        <v>350</v>
      </c>
      <c r="AZ65" s="53">
        <v>350</v>
      </c>
      <c r="BA65" s="53">
        <v>350</v>
      </c>
      <c r="BB65" s="53">
        <v>350</v>
      </c>
      <c r="BC65" s="53">
        <v>22000</v>
      </c>
      <c r="BD65" s="53"/>
      <c r="BE65" s="53"/>
      <c r="BF65" s="53"/>
      <c r="BG65" s="53"/>
      <c r="BH65" s="53"/>
      <c r="BI65" s="53"/>
      <c r="BJ65" s="53"/>
      <c r="BK65" s="53"/>
      <c r="BL65" s="53">
        <v>22000</v>
      </c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>
        <v>22000</v>
      </c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>
        <v>22000</v>
      </c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</row>
    <row r="66" spans="1:100" ht="15.75" customHeight="1" outlineLevel="4">
      <c r="A66" s="347"/>
      <c r="B66" s="28"/>
      <c r="C66" s="84" t="s">
        <v>54</v>
      </c>
      <c r="D66" s="53">
        <v>1000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>
        <v>1000</v>
      </c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>
        <v>1000</v>
      </c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>
        <v>1000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>
        <v>2000</v>
      </c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>
        <v>2000</v>
      </c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>
        <v>2000</v>
      </c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>
        <v>2000</v>
      </c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</row>
    <row r="67" spans="1:100" ht="15.75" customHeight="1" outlineLevel="3">
      <c r="A67" s="347"/>
      <c r="B67" s="28"/>
      <c r="C67" s="29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6"/>
    </row>
    <row r="68" spans="1:100" s="251" customFormat="1" ht="15.75" customHeight="1" outlineLevel="3">
      <c r="A68" s="347"/>
      <c r="B68" s="30">
        <v>1.1000000000000001</v>
      </c>
      <c r="C68" s="31" t="s">
        <v>377</v>
      </c>
      <c r="D68" s="355">
        <f t="shared" ref="D68:AI68" si="58">SUM(D70:D81)</f>
        <v>0</v>
      </c>
      <c r="E68" s="355">
        <f t="shared" si="58"/>
        <v>0</v>
      </c>
      <c r="F68" s="355">
        <f t="shared" si="58"/>
        <v>0</v>
      </c>
      <c r="G68" s="355">
        <f t="shared" si="58"/>
        <v>0</v>
      </c>
      <c r="H68" s="355">
        <f t="shared" si="58"/>
        <v>0</v>
      </c>
      <c r="I68" s="355">
        <f t="shared" si="58"/>
        <v>0</v>
      </c>
      <c r="J68" s="355">
        <f t="shared" si="58"/>
        <v>0</v>
      </c>
      <c r="K68" s="355">
        <f t="shared" si="58"/>
        <v>0</v>
      </c>
      <c r="L68" s="355">
        <f t="shared" si="58"/>
        <v>0</v>
      </c>
      <c r="M68" s="355">
        <f t="shared" si="58"/>
        <v>0</v>
      </c>
      <c r="N68" s="355">
        <f t="shared" si="58"/>
        <v>0</v>
      </c>
      <c r="O68" s="355">
        <f t="shared" si="58"/>
        <v>0</v>
      </c>
      <c r="P68" s="355">
        <f t="shared" si="58"/>
        <v>0</v>
      </c>
      <c r="Q68" s="355">
        <f t="shared" si="58"/>
        <v>0</v>
      </c>
      <c r="R68" s="355">
        <f t="shared" si="58"/>
        <v>0</v>
      </c>
      <c r="S68" s="355">
        <f t="shared" si="58"/>
        <v>0</v>
      </c>
      <c r="T68" s="355">
        <f t="shared" si="58"/>
        <v>0</v>
      </c>
      <c r="U68" s="355">
        <f t="shared" si="58"/>
        <v>0</v>
      </c>
      <c r="V68" s="355">
        <f t="shared" si="58"/>
        <v>0</v>
      </c>
      <c r="W68" s="355">
        <f t="shared" si="58"/>
        <v>0</v>
      </c>
      <c r="X68" s="355">
        <f t="shared" si="58"/>
        <v>0</v>
      </c>
      <c r="Y68" s="355">
        <f t="shared" si="58"/>
        <v>0</v>
      </c>
      <c r="Z68" s="355">
        <f t="shared" si="58"/>
        <v>0</v>
      </c>
      <c r="AA68" s="355">
        <f t="shared" si="58"/>
        <v>0</v>
      </c>
      <c r="AB68" s="355">
        <f t="shared" si="58"/>
        <v>0</v>
      </c>
      <c r="AC68" s="355">
        <f t="shared" si="58"/>
        <v>0</v>
      </c>
      <c r="AD68" s="355">
        <f t="shared" si="58"/>
        <v>0</v>
      </c>
      <c r="AE68" s="355">
        <f t="shared" si="58"/>
        <v>0</v>
      </c>
      <c r="AF68" s="355">
        <f t="shared" si="58"/>
        <v>0</v>
      </c>
      <c r="AG68" s="355">
        <f t="shared" si="58"/>
        <v>0</v>
      </c>
      <c r="AH68" s="355">
        <f t="shared" si="58"/>
        <v>0</v>
      </c>
      <c r="AI68" s="355">
        <f t="shared" si="58"/>
        <v>0</v>
      </c>
      <c r="AJ68" s="355">
        <f t="shared" ref="AJ68:BO68" si="59">SUM(AJ70:AJ81)</f>
        <v>0</v>
      </c>
      <c r="AK68" s="355">
        <f t="shared" si="59"/>
        <v>0</v>
      </c>
      <c r="AL68" s="355">
        <f t="shared" si="59"/>
        <v>0</v>
      </c>
      <c r="AM68" s="355">
        <f t="shared" si="59"/>
        <v>0</v>
      </c>
      <c r="AN68" s="355">
        <f t="shared" si="59"/>
        <v>0</v>
      </c>
      <c r="AO68" s="355">
        <f t="shared" si="59"/>
        <v>0</v>
      </c>
      <c r="AP68" s="355">
        <f t="shared" si="59"/>
        <v>0</v>
      </c>
      <c r="AQ68" s="355">
        <f t="shared" si="59"/>
        <v>0</v>
      </c>
      <c r="AR68" s="355">
        <f t="shared" si="59"/>
        <v>0</v>
      </c>
      <c r="AS68" s="355">
        <f t="shared" si="59"/>
        <v>0</v>
      </c>
      <c r="AT68" s="355">
        <f t="shared" si="59"/>
        <v>0</v>
      </c>
      <c r="AU68" s="355">
        <f t="shared" si="59"/>
        <v>0</v>
      </c>
      <c r="AV68" s="355">
        <f t="shared" si="59"/>
        <v>0</v>
      </c>
      <c r="AW68" s="355">
        <f t="shared" si="59"/>
        <v>0</v>
      </c>
      <c r="AX68" s="355">
        <f t="shared" si="59"/>
        <v>0</v>
      </c>
      <c r="AY68" s="355">
        <f t="shared" si="59"/>
        <v>0</v>
      </c>
      <c r="AZ68" s="355">
        <f t="shared" si="59"/>
        <v>0</v>
      </c>
      <c r="BA68" s="355">
        <f t="shared" si="59"/>
        <v>0</v>
      </c>
      <c r="BB68" s="355">
        <f t="shared" si="59"/>
        <v>0</v>
      </c>
      <c r="BC68" s="355">
        <f t="shared" si="59"/>
        <v>0</v>
      </c>
      <c r="BD68" s="355">
        <f t="shared" si="59"/>
        <v>0</v>
      </c>
      <c r="BE68" s="355">
        <f t="shared" si="59"/>
        <v>0</v>
      </c>
      <c r="BF68" s="355">
        <f t="shared" si="59"/>
        <v>0</v>
      </c>
      <c r="BG68" s="355">
        <f t="shared" si="59"/>
        <v>0</v>
      </c>
      <c r="BH68" s="355">
        <f t="shared" si="59"/>
        <v>0</v>
      </c>
      <c r="BI68" s="355">
        <f t="shared" si="59"/>
        <v>0</v>
      </c>
      <c r="BJ68" s="355">
        <f t="shared" si="59"/>
        <v>0</v>
      </c>
      <c r="BK68" s="355">
        <f t="shared" si="59"/>
        <v>0</v>
      </c>
      <c r="BL68" s="355">
        <f t="shared" si="59"/>
        <v>0</v>
      </c>
      <c r="BM68" s="355">
        <f t="shared" si="59"/>
        <v>161100</v>
      </c>
      <c r="BN68" s="355">
        <f t="shared" si="59"/>
        <v>1400</v>
      </c>
      <c r="BO68" s="355">
        <f t="shared" si="59"/>
        <v>1400</v>
      </c>
      <c r="BP68" s="355">
        <f t="shared" ref="BP68:CU68" si="60">SUM(BP70:BP81)</f>
        <v>1400</v>
      </c>
      <c r="BQ68" s="355">
        <f t="shared" si="60"/>
        <v>1400</v>
      </c>
      <c r="BR68" s="355">
        <f t="shared" si="60"/>
        <v>1400</v>
      </c>
      <c r="BS68" s="355">
        <f t="shared" si="60"/>
        <v>163500</v>
      </c>
      <c r="BT68" s="355">
        <f t="shared" si="60"/>
        <v>2800</v>
      </c>
      <c r="BU68" s="355">
        <f t="shared" si="60"/>
        <v>2800</v>
      </c>
      <c r="BV68" s="355">
        <f t="shared" si="60"/>
        <v>2800</v>
      </c>
      <c r="BW68" s="355">
        <f t="shared" si="60"/>
        <v>2800</v>
      </c>
      <c r="BX68" s="355">
        <f t="shared" si="60"/>
        <v>2800</v>
      </c>
      <c r="BY68" s="355">
        <f t="shared" si="60"/>
        <v>2800</v>
      </c>
      <c r="BZ68" s="355">
        <f t="shared" si="60"/>
        <v>2800</v>
      </c>
      <c r="CA68" s="355">
        <f t="shared" si="60"/>
        <v>165900</v>
      </c>
      <c r="CB68" s="355">
        <f t="shared" si="60"/>
        <v>4200</v>
      </c>
      <c r="CC68" s="355">
        <f t="shared" si="60"/>
        <v>4200</v>
      </c>
      <c r="CD68" s="355">
        <f t="shared" si="60"/>
        <v>4200</v>
      </c>
      <c r="CE68" s="355">
        <f t="shared" si="60"/>
        <v>4200</v>
      </c>
      <c r="CF68" s="355">
        <f t="shared" si="60"/>
        <v>4200</v>
      </c>
      <c r="CG68" s="355">
        <f t="shared" si="60"/>
        <v>4200</v>
      </c>
      <c r="CH68" s="355">
        <f t="shared" si="60"/>
        <v>4200</v>
      </c>
      <c r="CI68" s="355">
        <f t="shared" si="60"/>
        <v>168300</v>
      </c>
      <c r="CJ68" s="355">
        <f t="shared" si="60"/>
        <v>5600</v>
      </c>
      <c r="CK68" s="355">
        <f t="shared" si="60"/>
        <v>5600</v>
      </c>
      <c r="CL68" s="355">
        <f t="shared" si="60"/>
        <v>5600</v>
      </c>
      <c r="CM68" s="355">
        <f t="shared" si="60"/>
        <v>5600</v>
      </c>
      <c r="CN68" s="355">
        <f t="shared" si="60"/>
        <v>5600</v>
      </c>
      <c r="CO68" s="355">
        <f t="shared" si="60"/>
        <v>5600</v>
      </c>
      <c r="CP68" s="355">
        <f t="shared" si="60"/>
        <v>5600</v>
      </c>
      <c r="CQ68" s="355">
        <f t="shared" si="60"/>
        <v>170700</v>
      </c>
      <c r="CR68" s="355">
        <f t="shared" si="60"/>
        <v>7000</v>
      </c>
      <c r="CS68" s="355">
        <f t="shared" si="60"/>
        <v>7000</v>
      </c>
      <c r="CT68" s="355">
        <f t="shared" si="60"/>
        <v>7000</v>
      </c>
      <c r="CU68" s="355">
        <f t="shared" si="60"/>
        <v>7000</v>
      </c>
    </row>
    <row r="69" spans="1:100" s="393" customFormat="1" ht="15.75" customHeight="1" outlineLevel="3">
      <c r="A69" s="401"/>
      <c r="B69" s="390"/>
      <c r="C69" s="391" t="s">
        <v>383</v>
      </c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>
        <v>1</v>
      </c>
      <c r="BN69" s="392">
        <v>1</v>
      </c>
      <c r="BO69" s="392">
        <v>1</v>
      </c>
      <c r="BP69" s="392">
        <v>1</v>
      </c>
      <c r="BQ69" s="392">
        <v>1</v>
      </c>
      <c r="BR69" s="392">
        <v>1</v>
      </c>
      <c r="BS69" s="392">
        <v>2</v>
      </c>
      <c r="BT69" s="392">
        <v>2</v>
      </c>
      <c r="BU69" s="392">
        <v>2</v>
      </c>
      <c r="BV69" s="392">
        <v>2</v>
      </c>
      <c r="BW69" s="392">
        <v>2</v>
      </c>
      <c r="BX69" s="392">
        <v>2</v>
      </c>
      <c r="BY69" s="392">
        <v>2</v>
      </c>
      <c r="BZ69" s="392">
        <v>2</v>
      </c>
      <c r="CA69" s="392">
        <v>3</v>
      </c>
      <c r="CB69" s="392">
        <v>3</v>
      </c>
      <c r="CC69" s="392">
        <v>3</v>
      </c>
      <c r="CD69" s="392">
        <v>3</v>
      </c>
      <c r="CE69" s="392">
        <v>3</v>
      </c>
      <c r="CF69" s="392">
        <v>3</v>
      </c>
      <c r="CG69" s="392">
        <v>3</v>
      </c>
      <c r="CH69" s="392">
        <v>3</v>
      </c>
      <c r="CI69" s="392">
        <v>4</v>
      </c>
      <c r="CJ69" s="392">
        <v>4</v>
      </c>
      <c r="CK69" s="392">
        <v>4</v>
      </c>
      <c r="CL69" s="392">
        <v>4</v>
      </c>
      <c r="CM69" s="392">
        <v>4</v>
      </c>
      <c r="CN69" s="392">
        <v>4</v>
      </c>
      <c r="CO69" s="392">
        <v>4</v>
      </c>
      <c r="CP69" s="392">
        <v>4</v>
      </c>
      <c r="CQ69" s="392">
        <v>5</v>
      </c>
      <c r="CR69" s="392">
        <v>5</v>
      </c>
      <c r="CS69" s="392">
        <v>5</v>
      </c>
      <c r="CT69" s="392">
        <v>5</v>
      </c>
      <c r="CU69" s="392">
        <v>5</v>
      </c>
    </row>
    <row r="70" spans="1:100" s="251" customFormat="1" ht="15.75" customHeight="1" outlineLevel="4">
      <c r="A70" s="400"/>
      <c r="B70" s="21"/>
      <c r="C70" s="84" t="s">
        <v>46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>
        <f>BM69*2000</f>
        <v>2000</v>
      </c>
      <c r="BN70" s="53"/>
      <c r="BO70" s="53"/>
      <c r="BP70" s="53"/>
      <c r="BQ70" s="53"/>
      <c r="BR70" s="53"/>
      <c r="BS70" s="53">
        <f>2000</f>
        <v>2000</v>
      </c>
      <c r="BT70" s="53"/>
      <c r="BU70" s="53"/>
      <c r="BV70" s="53"/>
      <c r="BW70" s="53"/>
      <c r="BX70" s="53"/>
      <c r="BY70" s="53"/>
      <c r="BZ70" s="53"/>
      <c r="CA70" s="53">
        <f>2000</f>
        <v>2000</v>
      </c>
      <c r="CB70" s="53"/>
      <c r="CC70" s="53"/>
      <c r="CD70" s="53"/>
      <c r="CE70" s="53"/>
      <c r="CF70" s="53"/>
      <c r="CG70" s="53"/>
      <c r="CH70" s="53"/>
      <c r="CI70" s="53">
        <f>2000</f>
        <v>2000</v>
      </c>
      <c r="CJ70" s="53"/>
      <c r="CK70" s="53"/>
      <c r="CL70" s="53"/>
      <c r="CM70" s="53"/>
      <c r="CN70" s="53"/>
      <c r="CO70" s="53"/>
      <c r="CP70" s="53"/>
      <c r="CQ70" s="53">
        <f>2000</f>
        <v>2000</v>
      </c>
      <c r="CR70" s="53"/>
      <c r="CS70" s="53"/>
      <c r="CT70" s="53"/>
      <c r="CU70" s="53"/>
    </row>
    <row r="71" spans="1:100" s="251" customFormat="1" ht="15.75" customHeight="1" outlineLevel="4">
      <c r="A71" s="400"/>
      <c r="B71" s="21"/>
      <c r="C71" s="84" t="s">
        <v>47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>
        <f>BM69*13700</f>
        <v>13700</v>
      </c>
      <c r="BN71" s="53"/>
      <c r="BO71" s="53"/>
      <c r="BP71" s="53"/>
      <c r="BQ71" s="53"/>
      <c r="BR71" s="53"/>
      <c r="BS71" s="53">
        <f>13700</f>
        <v>13700</v>
      </c>
      <c r="BT71" s="53"/>
      <c r="BU71" s="53"/>
      <c r="BV71" s="53"/>
      <c r="BW71" s="53"/>
      <c r="BX71" s="53"/>
      <c r="BY71" s="53"/>
      <c r="BZ71" s="53"/>
      <c r="CA71" s="53">
        <f>13700</f>
        <v>13700</v>
      </c>
      <c r="CB71" s="53"/>
      <c r="CC71" s="53"/>
      <c r="CD71" s="53"/>
      <c r="CE71" s="53"/>
      <c r="CF71" s="53"/>
      <c r="CG71" s="53"/>
      <c r="CH71" s="53"/>
      <c r="CI71" s="53">
        <f>13700</f>
        <v>13700</v>
      </c>
      <c r="CJ71" s="53"/>
      <c r="CK71" s="53"/>
      <c r="CL71" s="53"/>
      <c r="CM71" s="53"/>
      <c r="CN71" s="53"/>
      <c r="CO71" s="53"/>
      <c r="CP71" s="53"/>
      <c r="CQ71" s="53">
        <f>13700</f>
        <v>13700</v>
      </c>
      <c r="CR71" s="53"/>
      <c r="CS71" s="53"/>
      <c r="CT71" s="53"/>
      <c r="CU71" s="53"/>
    </row>
    <row r="72" spans="1:100" s="251" customFormat="1" ht="15.75" customHeight="1" outlineLevel="4">
      <c r="A72" s="400"/>
      <c r="B72" s="21"/>
      <c r="C72" s="84" t="s">
        <v>48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>
        <f>BM69*150</f>
        <v>150</v>
      </c>
      <c r="BN72" s="53">
        <v>150</v>
      </c>
      <c r="BO72" s="53">
        <v>150</v>
      </c>
      <c r="BP72" s="53">
        <v>150</v>
      </c>
      <c r="BQ72" s="53">
        <v>150</v>
      </c>
      <c r="BR72" s="53">
        <v>150</v>
      </c>
      <c r="BS72" s="53">
        <f>$BS$69*150</f>
        <v>300</v>
      </c>
      <c r="BT72" s="53">
        <f t="shared" ref="BT72:BZ72" si="61">$BS$69*150</f>
        <v>300</v>
      </c>
      <c r="BU72" s="53">
        <f t="shared" si="61"/>
        <v>300</v>
      </c>
      <c r="BV72" s="53">
        <f t="shared" si="61"/>
        <v>300</v>
      </c>
      <c r="BW72" s="53">
        <f t="shared" si="61"/>
        <v>300</v>
      </c>
      <c r="BX72" s="53">
        <f t="shared" si="61"/>
        <v>300</v>
      </c>
      <c r="BY72" s="53">
        <f t="shared" si="61"/>
        <v>300</v>
      </c>
      <c r="BZ72" s="53">
        <f t="shared" si="61"/>
        <v>300</v>
      </c>
      <c r="CA72" s="53">
        <f>$CA$69*150</f>
        <v>450</v>
      </c>
      <c r="CB72" s="53">
        <f t="shared" ref="CB72:CH72" si="62">$CA$69*150</f>
        <v>450</v>
      </c>
      <c r="CC72" s="53">
        <f t="shared" si="62"/>
        <v>450</v>
      </c>
      <c r="CD72" s="53">
        <f t="shared" si="62"/>
        <v>450</v>
      </c>
      <c r="CE72" s="53">
        <f t="shared" si="62"/>
        <v>450</v>
      </c>
      <c r="CF72" s="53">
        <f t="shared" si="62"/>
        <v>450</v>
      </c>
      <c r="CG72" s="53">
        <f t="shared" si="62"/>
        <v>450</v>
      </c>
      <c r="CH72" s="53">
        <f t="shared" si="62"/>
        <v>450</v>
      </c>
      <c r="CI72" s="53">
        <f>$CI$69*150</f>
        <v>600</v>
      </c>
      <c r="CJ72" s="53">
        <f t="shared" ref="CJ72:CP72" si="63">$CI$69*150</f>
        <v>600</v>
      </c>
      <c r="CK72" s="53">
        <f t="shared" si="63"/>
        <v>600</v>
      </c>
      <c r="CL72" s="53">
        <f t="shared" si="63"/>
        <v>600</v>
      </c>
      <c r="CM72" s="53">
        <f t="shared" si="63"/>
        <v>600</v>
      </c>
      <c r="CN72" s="53">
        <f t="shared" si="63"/>
        <v>600</v>
      </c>
      <c r="CO72" s="53">
        <f t="shared" si="63"/>
        <v>600</v>
      </c>
      <c r="CP72" s="53">
        <f t="shared" si="63"/>
        <v>600</v>
      </c>
      <c r="CQ72" s="53">
        <f>$CQ$69*150</f>
        <v>750</v>
      </c>
      <c r="CR72" s="53">
        <f t="shared" ref="CR72:CU72" si="64">$CQ$69*150</f>
        <v>750</v>
      </c>
      <c r="CS72" s="53">
        <f t="shared" si="64"/>
        <v>750</v>
      </c>
      <c r="CT72" s="53">
        <f t="shared" si="64"/>
        <v>750</v>
      </c>
      <c r="CU72" s="53">
        <f t="shared" si="64"/>
        <v>750</v>
      </c>
    </row>
    <row r="73" spans="1:100" s="251" customFormat="1" ht="15.75" customHeight="1" outlineLevel="4">
      <c r="A73" s="400"/>
      <c r="B73" s="21"/>
      <c r="C73" s="84" t="s">
        <v>49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>
        <f>BM69*500</f>
        <v>500</v>
      </c>
      <c r="BN73" s="53">
        <v>500</v>
      </c>
      <c r="BO73" s="53">
        <v>500</v>
      </c>
      <c r="BP73" s="53">
        <v>500</v>
      </c>
      <c r="BQ73" s="53">
        <v>500</v>
      </c>
      <c r="BR73" s="53">
        <v>500</v>
      </c>
      <c r="BS73" s="53">
        <f>$BS$69*500</f>
        <v>1000</v>
      </c>
      <c r="BT73" s="53">
        <f t="shared" ref="BT73:BZ73" si="65">$BS$69*500</f>
        <v>1000</v>
      </c>
      <c r="BU73" s="53">
        <f t="shared" si="65"/>
        <v>1000</v>
      </c>
      <c r="BV73" s="53">
        <f t="shared" si="65"/>
        <v>1000</v>
      </c>
      <c r="BW73" s="53">
        <f t="shared" si="65"/>
        <v>1000</v>
      </c>
      <c r="BX73" s="53">
        <f t="shared" si="65"/>
        <v>1000</v>
      </c>
      <c r="BY73" s="53">
        <f t="shared" si="65"/>
        <v>1000</v>
      </c>
      <c r="BZ73" s="53">
        <f t="shared" si="65"/>
        <v>1000</v>
      </c>
      <c r="CA73" s="53">
        <f>$CA$69*500</f>
        <v>1500</v>
      </c>
      <c r="CB73" s="53">
        <f t="shared" ref="CB73:CH73" si="66">$CA$69*500</f>
        <v>1500</v>
      </c>
      <c r="CC73" s="53">
        <f t="shared" si="66"/>
        <v>1500</v>
      </c>
      <c r="CD73" s="53">
        <f t="shared" si="66"/>
        <v>1500</v>
      </c>
      <c r="CE73" s="53">
        <f t="shared" si="66"/>
        <v>1500</v>
      </c>
      <c r="CF73" s="53">
        <f t="shared" si="66"/>
        <v>1500</v>
      </c>
      <c r="CG73" s="53">
        <f t="shared" si="66"/>
        <v>1500</v>
      </c>
      <c r="CH73" s="53">
        <f t="shared" si="66"/>
        <v>1500</v>
      </c>
      <c r="CI73" s="53">
        <f>$CI$69*500</f>
        <v>2000</v>
      </c>
      <c r="CJ73" s="53">
        <f t="shared" ref="CJ73:CP73" si="67">$CI$69*500</f>
        <v>2000</v>
      </c>
      <c r="CK73" s="53">
        <f t="shared" si="67"/>
        <v>2000</v>
      </c>
      <c r="CL73" s="53">
        <f t="shared" si="67"/>
        <v>2000</v>
      </c>
      <c r="CM73" s="53">
        <f t="shared" si="67"/>
        <v>2000</v>
      </c>
      <c r="CN73" s="53">
        <f t="shared" si="67"/>
        <v>2000</v>
      </c>
      <c r="CO73" s="53">
        <f t="shared" si="67"/>
        <v>2000</v>
      </c>
      <c r="CP73" s="53">
        <f t="shared" si="67"/>
        <v>2000</v>
      </c>
      <c r="CQ73" s="53">
        <f>$CQ$69*500</f>
        <v>2500</v>
      </c>
      <c r="CR73" s="53">
        <f t="shared" ref="CR73:CU73" si="68">$CQ$69*500</f>
        <v>2500</v>
      </c>
      <c r="CS73" s="53">
        <f t="shared" si="68"/>
        <v>2500</v>
      </c>
      <c r="CT73" s="53">
        <f t="shared" si="68"/>
        <v>2500</v>
      </c>
      <c r="CU73" s="53">
        <f t="shared" si="68"/>
        <v>2500</v>
      </c>
    </row>
    <row r="74" spans="1:100" s="251" customFormat="1" ht="15.75" customHeight="1" outlineLevel="4">
      <c r="A74" s="400"/>
      <c r="B74" s="21"/>
      <c r="C74" s="84" t="s">
        <v>50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>
        <f>BM69*400</f>
        <v>400</v>
      </c>
      <c r="BN74" s="53">
        <v>400</v>
      </c>
      <c r="BO74" s="53">
        <v>400</v>
      </c>
      <c r="BP74" s="53">
        <v>400</v>
      </c>
      <c r="BQ74" s="53">
        <v>400</v>
      </c>
      <c r="BR74" s="53">
        <v>400</v>
      </c>
      <c r="BS74" s="53">
        <f>$BS$69*400</f>
        <v>800</v>
      </c>
      <c r="BT74" s="53">
        <f t="shared" ref="BT74:BZ74" si="69">$BS$69*400</f>
        <v>800</v>
      </c>
      <c r="BU74" s="53">
        <f t="shared" si="69"/>
        <v>800</v>
      </c>
      <c r="BV74" s="53">
        <f t="shared" si="69"/>
        <v>800</v>
      </c>
      <c r="BW74" s="53">
        <f t="shared" si="69"/>
        <v>800</v>
      </c>
      <c r="BX74" s="53">
        <f t="shared" si="69"/>
        <v>800</v>
      </c>
      <c r="BY74" s="53">
        <f t="shared" si="69"/>
        <v>800</v>
      </c>
      <c r="BZ74" s="53">
        <f t="shared" si="69"/>
        <v>800</v>
      </c>
      <c r="CA74" s="53">
        <f>$CA$69*400</f>
        <v>1200</v>
      </c>
      <c r="CB74" s="53">
        <f t="shared" ref="CB74:CH74" si="70">$CA$69*400</f>
        <v>1200</v>
      </c>
      <c r="CC74" s="53">
        <f t="shared" si="70"/>
        <v>1200</v>
      </c>
      <c r="CD74" s="53">
        <f t="shared" si="70"/>
        <v>1200</v>
      </c>
      <c r="CE74" s="53">
        <f t="shared" si="70"/>
        <v>1200</v>
      </c>
      <c r="CF74" s="53">
        <f t="shared" si="70"/>
        <v>1200</v>
      </c>
      <c r="CG74" s="53">
        <f t="shared" si="70"/>
        <v>1200</v>
      </c>
      <c r="CH74" s="53">
        <f t="shared" si="70"/>
        <v>1200</v>
      </c>
      <c r="CI74" s="53">
        <f>$CI$69*400</f>
        <v>1600</v>
      </c>
      <c r="CJ74" s="53">
        <f t="shared" ref="CJ74:CP74" si="71">$CI$69*400</f>
        <v>1600</v>
      </c>
      <c r="CK74" s="53">
        <f t="shared" si="71"/>
        <v>1600</v>
      </c>
      <c r="CL74" s="53">
        <f t="shared" si="71"/>
        <v>1600</v>
      </c>
      <c r="CM74" s="53">
        <f t="shared" si="71"/>
        <v>1600</v>
      </c>
      <c r="CN74" s="53">
        <f t="shared" si="71"/>
        <v>1600</v>
      </c>
      <c r="CO74" s="53">
        <f t="shared" si="71"/>
        <v>1600</v>
      </c>
      <c r="CP74" s="53">
        <f t="shared" si="71"/>
        <v>1600</v>
      </c>
      <c r="CQ74" s="53">
        <f>$CQ$69*400</f>
        <v>2000</v>
      </c>
      <c r="CR74" s="53">
        <f t="shared" ref="CR74:CU74" si="72">$CQ$69*400</f>
        <v>2000</v>
      </c>
      <c r="CS74" s="53">
        <f t="shared" si="72"/>
        <v>2000</v>
      </c>
      <c r="CT74" s="53">
        <f t="shared" si="72"/>
        <v>2000</v>
      </c>
      <c r="CU74" s="53">
        <f t="shared" si="72"/>
        <v>2000</v>
      </c>
    </row>
    <row r="75" spans="1:100" s="251" customFormat="1" ht="15.75" customHeight="1" outlineLevel="4">
      <c r="A75" s="400"/>
      <c r="B75" s="21"/>
      <c r="C75" s="84" t="s">
        <v>51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>
        <f>BM69*1000</f>
        <v>1000</v>
      </c>
      <c r="BN75" s="53"/>
      <c r="BO75" s="53"/>
      <c r="BP75" s="53"/>
      <c r="BQ75" s="53"/>
      <c r="BR75" s="53"/>
      <c r="BS75" s="53">
        <f>BS69*1000</f>
        <v>2000</v>
      </c>
      <c r="BT75" s="53"/>
      <c r="BU75" s="53"/>
      <c r="BV75" s="53"/>
      <c r="BW75" s="53"/>
      <c r="BX75" s="53"/>
      <c r="BY75" s="53"/>
      <c r="BZ75" s="53"/>
      <c r="CA75" s="53">
        <f>CA69*1000</f>
        <v>3000</v>
      </c>
      <c r="CB75" s="53"/>
      <c r="CC75" s="53"/>
      <c r="CD75" s="53"/>
      <c r="CE75" s="53"/>
      <c r="CF75" s="53"/>
      <c r="CG75" s="53"/>
      <c r="CH75" s="53"/>
      <c r="CI75" s="53">
        <f>CI69*1000</f>
        <v>4000</v>
      </c>
      <c r="CJ75" s="53"/>
      <c r="CK75" s="53"/>
      <c r="CL75" s="53"/>
      <c r="CM75" s="53"/>
      <c r="CN75" s="53"/>
      <c r="CO75" s="53"/>
      <c r="CP75" s="53"/>
      <c r="CQ75" s="53">
        <f>CQ69*1000</f>
        <v>5000</v>
      </c>
      <c r="CR75" s="53"/>
      <c r="CS75" s="53"/>
      <c r="CT75" s="53"/>
      <c r="CU75" s="53"/>
    </row>
    <row r="76" spans="1:100" s="251" customFormat="1" ht="15.75" customHeight="1" outlineLevel="4">
      <c r="A76" s="400"/>
      <c r="B76" s="21"/>
      <c r="C76" s="84" t="s">
        <v>52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>
        <f>BM69*10000</f>
        <v>10000</v>
      </c>
      <c r="BN76" s="53"/>
      <c r="BO76" s="53"/>
      <c r="BP76" s="53"/>
      <c r="BQ76" s="53"/>
      <c r="BR76" s="53"/>
      <c r="BS76" s="53">
        <f>10000</f>
        <v>10000</v>
      </c>
      <c r="BT76" s="53"/>
      <c r="BU76" s="53"/>
      <c r="BV76" s="53"/>
      <c r="BW76" s="53"/>
      <c r="BX76" s="53"/>
      <c r="BY76" s="53"/>
      <c r="BZ76" s="53"/>
      <c r="CA76" s="53">
        <f>10000</f>
        <v>10000</v>
      </c>
      <c r="CB76" s="53"/>
      <c r="CC76" s="53"/>
      <c r="CD76" s="53"/>
      <c r="CE76" s="53"/>
      <c r="CF76" s="53"/>
      <c r="CG76" s="53"/>
      <c r="CH76" s="53"/>
      <c r="CI76" s="53">
        <f>10000</f>
        <v>10000</v>
      </c>
      <c r="CJ76" s="53"/>
      <c r="CK76" s="53"/>
      <c r="CL76" s="53"/>
      <c r="CM76" s="53"/>
      <c r="CN76" s="53"/>
      <c r="CO76" s="53"/>
      <c r="CP76" s="53"/>
      <c r="CQ76" s="53">
        <f>10000</f>
        <v>10000</v>
      </c>
      <c r="CR76" s="53"/>
      <c r="CS76" s="53"/>
      <c r="CT76" s="53"/>
      <c r="CU76" s="53"/>
    </row>
    <row r="77" spans="1:100" s="251" customFormat="1" ht="15.75" customHeight="1" outlineLevel="4">
      <c r="A77" s="400"/>
      <c r="B77" s="21"/>
      <c r="C77" s="84" t="s">
        <v>53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>
        <f>BM69*350</f>
        <v>350</v>
      </c>
      <c r="BN77" s="53">
        <v>350</v>
      </c>
      <c r="BO77" s="53">
        <v>350</v>
      </c>
      <c r="BP77" s="53">
        <v>350</v>
      </c>
      <c r="BQ77" s="53">
        <v>350</v>
      </c>
      <c r="BR77" s="53">
        <v>350</v>
      </c>
      <c r="BS77" s="53">
        <f>$BS$69*350</f>
        <v>700</v>
      </c>
      <c r="BT77" s="53">
        <f t="shared" ref="BT77:BZ77" si="73">$BS$69*350</f>
        <v>700</v>
      </c>
      <c r="BU77" s="53">
        <f t="shared" si="73"/>
        <v>700</v>
      </c>
      <c r="BV77" s="53">
        <f t="shared" si="73"/>
        <v>700</v>
      </c>
      <c r="BW77" s="53">
        <f t="shared" si="73"/>
        <v>700</v>
      </c>
      <c r="BX77" s="53">
        <f t="shared" si="73"/>
        <v>700</v>
      </c>
      <c r="BY77" s="53">
        <f t="shared" si="73"/>
        <v>700</v>
      </c>
      <c r="BZ77" s="53">
        <f t="shared" si="73"/>
        <v>700</v>
      </c>
      <c r="CA77" s="53">
        <f>$CA$69*350</f>
        <v>1050</v>
      </c>
      <c r="CB77" s="53">
        <f t="shared" ref="CB77:CH77" si="74">$CA$69*350</f>
        <v>1050</v>
      </c>
      <c r="CC77" s="53">
        <f t="shared" si="74"/>
        <v>1050</v>
      </c>
      <c r="CD77" s="53">
        <f t="shared" si="74"/>
        <v>1050</v>
      </c>
      <c r="CE77" s="53">
        <f t="shared" si="74"/>
        <v>1050</v>
      </c>
      <c r="CF77" s="53">
        <f t="shared" si="74"/>
        <v>1050</v>
      </c>
      <c r="CG77" s="53">
        <f t="shared" si="74"/>
        <v>1050</v>
      </c>
      <c r="CH77" s="53">
        <f t="shared" si="74"/>
        <v>1050</v>
      </c>
      <c r="CI77" s="53">
        <f>$CI$69*350</f>
        <v>1400</v>
      </c>
      <c r="CJ77" s="53">
        <f t="shared" ref="CJ77:CP77" si="75">$CI$69*350</f>
        <v>1400</v>
      </c>
      <c r="CK77" s="53">
        <f t="shared" si="75"/>
        <v>1400</v>
      </c>
      <c r="CL77" s="53">
        <f t="shared" si="75"/>
        <v>1400</v>
      </c>
      <c r="CM77" s="53">
        <f t="shared" si="75"/>
        <v>1400</v>
      </c>
      <c r="CN77" s="53">
        <f t="shared" si="75"/>
        <v>1400</v>
      </c>
      <c r="CO77" s="53">
        <f t="shared" si="75"/>
        <v>1400</v>
      </c>
      <c r="CP77" s="53">
        <f t="shared" si="75"/>
        <v>1400</v>
      </c>
      <c r="CQ77" s="53">
        <f>$CQ$69*350</f>
        <v>1750</v>
      </c>
      <c r="CR77" s="53">
        <f t="shared" ref="CR77:CU77" si="76">$CQ$69*350</f>
        <v>1750</v>
      </c>
      <c r="CS77" s="53">
        <f t="shared" si="76"/>
        <v>1750</v>
      </c>
      <c r="CT77" s="53">
        <f t="shared" si="76"/>
        <v>1750</v>
      </c>
      <c r="CU77" s="53">
        <f t="shared" si="76"/>
        <v>1750</v>
      </c>
    </row>
    <row r="78" spans="1:100" s="251" customFormat="1" ht="15.75" customHeight="1" outlineLevel="4">
      <c r="A78" s="400"/>
      <c r="B78" s="21"/>
      <c r="C78" s="84" t="s">
        <v>60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>
        <f>BM69*70000</f>
        <v>70000</v>
      </c>
      <c r="BN78" s="53"/>
      <c r="BO78" s="53"/>
      <c r="BP78" s="53"/>
      <c r="BQ78" s="53"/>
      <c r="BR78" s="53"/>
      <c r="BS78" s="53">
        <f>70000</f>
        <v>70000</v>
      </c>
      <c r="BT78" s="53"/>
      <c r="BU78" s="53"/>
      <c r="BV78" s="53"/>
      <c r="BW78" s="53"/>
      <c r="BX78" s="53"/>
      <c r="BY78" s="53"/>
      <c r="BZ78" s="53"/>
      <c r="CA78" s="53">
        <f>70000</f>
        <v>70000</v>
      </c>
      <c r="CB78" s="53"/>
      <c r="CC78" s="53"/>
      <c r="CD78" s="53"/>
      <c r="CE78" s="53"/>
      <c r="CF78" s="53"/>
      <c r="CG78" s="53"/>
      <c r="CH78" s="53"/>
      <c r="CI78" s="53">
        <f>70000</f>
        <v>70000</v>
      </c>
      <c r="CJ78" s="53"/>
      <c r="CK78" s="53"/>
      <c r="CL78" s="53"/>
      <c r="CM78" s="53"/>
      <c r="CN78" s="53"/>
      <c r="CO78" s="53"/>
      <c r="CP78" s="53"/>
      <c r="CQ78" s="53">
        <f>70000</f>
        <v>70000</v>
      </c>
      <c r="CR78" s="53"/>
      <c r="CS78" s="53"/>
      <c r="CT78" s="53"/>
      <c r="CU78" s="53"/>
    </row>
    <row r="79" spans="1:100" s="251" customFormat="1" ht="15.75" customHeight="1" outlineLevel="4">
      <c r="A79" s="400"/>
      <c r="B79" s="21"/>
      <c r="C79" s="84" t="s">
        <v>381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>
        <f>BM69*50000</f>
        <v>50000</v>
      </c>
      <c r="BN79" s="53"/>
      <c r="BO79" s="53"/>
      <c r="BP79" s="53"/>
      <c r="BQ79" s="53"/>
      <c r="BR79" s="53"/>
      <c r="BS79" s="53">
        <f>50000</f>
        <v>50000</v>
      </c>
      <c r="BT79" s="53"/>
      <c r="BU79" s="53"/>
      <c r="BV79" s="53"/>
      <c r="BW79" s="53"/>
      <c r="BX79" s="53"/>
      <c r="BY79" s="53"/>
      <c r="BZ79" s="53"/>
      <c r="CA79" s="53">
        <f>50000</f>
        <v>50000</v>
      </c>
      <c r="CB79" s="53"/>
      <c r="CC79" s="53"/>
      <c r="CD79" s="53"/>
      <c r="CE79" s="53"/>
      <c r="CF79" s="53"/>
      <c r="CG79" s="53"/>
      <c r="CH79" s="53"/>
      <c r="CI79" s="53">
        <f>50000</f>
        <v>50000</v>
      </c>
      <c r="CJ79" s="53"/>
      <c r="CK79" s="53"/>
      <c r="CL79" s="53"/>
      <c r="CM79" s="53"/>
      <c r="CN79" s="53"/>
      <c r="CO79" s="53"/>
      <c r="CP79" s="53"/>
      <c r="CQ79" s="53">
        <f>50000</f>
        <v>50000</v>
      </c>
      <c r="CR79" s="53"/>
      <c r="CS79" s="53"/>
      <c r="CT79" s="53"/>
      <c r="CU79" s="53"/>
    </row>
    <row r="80" spans="1:100" s="251" customFormat="1" ht="15.75" customHeight="1" outlineLevel="4">
      <c r="A80" s="400"/>
      <c r="B80" s="21"/>
      <c r="C80" s="84" t="s">
        <v>382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>
        <f>BM69*12000</f>
        <v>12000</v>
      </c>
      <c r="BN80" s="53"/>
      <c r="BO80" s="53"/>
      <c r="BP80" s="53"/>
      <c r="BQ80" s="53"/>
      <c r="BR80" s="53"/>
      <c r="BS80" s="53">
        <f>12000</f>
        <v>12000</v>
      </c>
      <c r="BT80" s="53"/>
      <c r="BU80" s="53"/>
      <c r="BV80" s="53"/>
      <c r="BW80" s="53"/>
      <c r="BX80" s="53"/>
      <c r="BY80" s="53"/>
      <c r="BZ80" s="53"/>
      <c r="CA80" s="53">
        <f>12000</f>
        <v>12000</v>
      </c>
      <c r="CB80" s="53"/>
      <c r="CC80" s="53"/>
      <c r="CD80" s="53"/>
      <c r="CE80" s="53"/>
      <c r="CF80" s="53"/>
      <c r="CG80" s="53"/>
      <c r="CH80" s="53"/>
      <c r="CI80" s="53">
        <f>12000</f>
        <v>12000</v>
      </c>
      <c r="CJ80" s="53"/>
      <c r="CK80" s="53"/>
      <c r="CL80" s="53"/>
      <c r="CM80" s="53"/>
      <c r="CN80" s="53"/>
      <c r="CO80" s="53"/>
      <c r="CP80" s="53"/>
      <c r="CQ80" s="53">
        <f>12000</f>
        <v>12000</v>
      </c>
      <c r="CR80" s="53"/>
      <c r="CS80" s="53"/>
      <c r="CT80" s="53"/>
      <c r="CU80" s="53"/>
    </row>
    <row r="81" spans="1:100" s="251" customFormat="1" ht="15.75" customHeight="1" outlineLevel="4">
      <c r="A81" s="400"/>
      <c r="B81" s="21"/>
      <c r="C81" s="84" t="s">
        <v>54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>
        <f>BM69*1000</f>
        <v>1000</v>
      </c>
      <c r="BN81" s="53"/>
      <c r="BO81" s="53"/>
      <c r="BP81" s="53"/>
      <c r="BQ81" s="53"/>
      <c r="BR81" s="53"/>
      <c r="BS81" s="53">
        <f>1000</f>
        <v>1000</v>
      </c>
      <c r="BT81" s="53"/>
      <c r="BU81" s="53"/>
      <c r="BV81" s="53"/>
      <c r="BW81" s="53"/>
      <c r="BX81" s="53"/>
      <c r="BY81" s="53"/>
      <c r="BZ81" s="53"/>
      <c r="CA81" s="53">
        <f>1000</f>
        <v>1000</v>
      </c>
      <c r="CB81" s="53"/>
      <c r="CC81" s="53"/>
      <c r="CD81" s="53"/>
      <c r="CE81" s="53"/>
      <c r="CF81" s="53"/>
      <c r="CG81" s="53"/>
      <c r="CH81" s="53"/>
      <c r="CI81" s="53">
        <f>1000</f>
        <v>1000</v>
      </c>
      <c r="CJ81" s="53"/>
      <c r="CK81" s="53"/>
      <c r="CL81" s="53"/>
      <c r="CM81" s="53"/>
      <c r="CN81" s="53"/>
      <c r="CO81" s="53"/>
      <c r="CP81" s="53"/>
      <c r="CQ81" s="53">
        <f>1000</f>
        <v>1000</v>
      </c>
      <c r="CR81" s="53"/>
      <c r="CS81" s="53"/>
      <c r="CT81" s="53"/>
      <c r="CU81" s="53"/>
    </row>
    <row r="82" spans="1:100" s="251" customFormat="1" ht="15.75" customHeight="1" outlineLevel="3">
      <c r="A82" s="347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</row>
    <row r="83" spans="1:100" ht="15.75" customHeight="1" outlineLevel="3">
      <c r="A83" s="347"/>
      <c r="B83" s="30">
        <v>1.2</v>
      </c>
      <c r="C83" s="31" t="s">
        <v>55</v>
      </c>
      <c r="D83" s="355">
        <f>'Business Plan Detailed'!D85*'Headcount Cost Assumptions'!$E$8+'Business Plan Detailed'!D86*'Headcount Cost Assumptions'!$E$9+'Business Plan Detailed'!D87*'Headcount Cost Assumptions'!$E$10+'Business Plan Detailed'!D88*'Headcount Cost Assumptions'!$E$11+'Business Plan Detailed'!D89*'Headcount Cost Assumptions'!$E$12+'Business Plan Detailed'!D90*'Headcount Cost Assumptions'!$E$13+'Business Plan Detailed'!D91*'Headcount Cost Assumptions'!$E$14+'Business Plan Detailed'!D92*'Headcount Cost Assumptions'!$E$15+'Business Plan Detailed'!D93*'Headcount Cost Assumptions'!$E$16+'Business Plan Detailed'!D94*'Headcount Cost Assumptions'!$E$17+'Business Plan Detailed'!D95*'Headcount Cost Assumptions'!$E$18+'Business Plan Detailed'!D96*'Headcount Cost Assumptions'!$E$19+'Business Plan Detailed'!D97*'Headcount Cost Assumptions'!$E$20+'Business Plan Detailed'!D98*'Headcount Cost Assumptions'!$E$21+'Business Plan Detailed'!D99*'Headcount Cost Assumptions'!$E$22+'Business Plan Detailed'!D100*'Headcount Cost Assumptions'!$E$23+'Business Plan Detailed'!D101*'Headcount Cost Assumptions'!$E$24+'Business Plan Detailed'!D102*'Headcount Cost Assumptions'!$E$25+D103*'Headcount Cost Assumptions'!$E$26+D104*'Headcount Cost Assumptions'!$E$27+'Business Plan Detailed'!D105*'Headcount Cost Assumptions'!$E$28+D106*'Headcount Cost Assumptions'!$E$29+'Business Plan Detailed'!D107*'Headcount Cost Assumptions'!$E$30</f>
        <v>23660</v>
      </c>
      <c r="E83" s="355">
        <f>'Business Plan Detailed'!E85*'Headcount Cost Assumptions'!$E$8+'Business Plan Detailed'!E86*'Headcount Cost Assumptions'!$E$9+'Business Plan Detailed'!E87*'Headcount Cost Assumptions'!$E$10+'Business Plan Detailed'!E88*'Headcount Cost Assumptions'!$E$11+'Business Plan Detailed'!E89*'Headcount Cost Assumptions'!$E$12+'Business Plan Detailed'!E90*'Headcount Cost Assumptions'!$E$13+'Business Plan Detailed'!E91*'Headcount Cost Assumptions'!$E$14+'Business Plan Detailed'!E92*'Headcount Cost Assumptions'!$E$15+'Business Plan Detailed'!E93*'Headcount Cost Assumptions'!$E$16+'Business Plan Detailed'!E94*'Headcount Cost Assumptions'!$E$17+'Business Plan Detailed'!E95*'Headcount Cost Assumptions'!$E$18+'Business Plan Detailed'!E96*'Headcount Cost Assumptions'!$E$19+'Business Plan Detailed'!E97*'Headcount Cost Assumptions'!$E$20+'Business Plan Detailed'!E98*'Headcount Cost Assumptions'!$E$21+'Business Plan Detailed'!E99*'Headcount Cost Assumptions'!$E$22+'Business Plan Detailed'!E100*'Headcount Cost Assumptions'!$E$23+'Business Plan Detailed'!E101*'Headcount Cost Assumptions'!$E$24+'Business Plan Detailed'!E102*'Headcount Cost Assumptions'!$E$25+E103*'Headcount Cost Assumptions'!$E$26+E104*'Headcount Cost Assumptions'!$E$27+'Business Plan Detailed'!E105*'Headcount Cost Assumptions'!$E$28+E106*'Headcount Cost Assumptions'!$E$29+'Business Plan Detailed'!E107*'Headcount Cost Assumptions'!$E$30</f>
        <v>23660</v>
      </c>
      <c r="F83" s="355">
        <f>'Business Plan Detailed'!F85*'Headcount Cost Assumptions'!$E$8+'Business Plan Detailed'!F86*'Headcount Cost Assumptions'!$E$9+'Business Plan Detailed'!F87*'Headcount Cost Assumptions'!$E$10+'Business Plan Detailed'!F88*'Headcount Cost Assumptions'!$E$11+'Business Plan Detailed'!F89*'Headcount Cost Assumptions'!$E$12+'Business Plan Detailed'!F90*'Headcount Cost Assumptions'!$E$13+'Business Plan Detailed'!F91*'Headcount Cost Assumptions'!$E$14+'Business Plan Detailed'!F92*'Headcount Cost Assumptions'!$E$15+'Business Plan Detailed'!F93*'Headcount Cost Assumptions'!$E$16+'Business Plan Detailed'!F94*'Headcount Cost Assumptions'!$E$17+'Business Plan Detailed'!F95*'Headcount Cost Assumptions'!$E$18+'Business Plan Detailed'!F96*'Headcount Cost Assumptions'!$E$19+'Business Plan Detailed'!F97*'Headcount Cost Assumptions'!$E$20+'Business Plan Detailed'!F98*'Headcount Cost Assumptions'!$E$21+'Business Plan Detailed'!F99*'Headcount Cost Assumptions'!$E$22+'Business Plan Detailed'!F100*'Headcount Cost Assumptions'!$E$23+'Business Plan Detailed'!F101*'Headcount Cost Assumptions'!$E$24+'Business Plan Detailed'!F102*'Headcount Cost Assumptions'!$E$25+F103*'Headcount Cost Assumptions'!$E$26+F104*'Headcount Cost Assumptions'!$E$27+'Business Plan Detailed'!F105*'Headcount Cost Assumptions'!$E$28+F106*'Headcount Cost Assumptions'!$E$29+'Business Plan Detailed'!F107*'Headcount Cost Assumptions'!$E$30</f>
        <v>23660</v>
      </c>
      <c r="G83" s="355">
        <f>'Business Plan Detailed'!G85*'Headcount Cost Assumptions'!$E$8+'Business Plan Detailed'!G86*'Headcount Cost Assumptions'!$E$9+'Business Plan Detailed'!G87*'Headcount Cost Assumptions'!$E$10+'Business Plan Detailed'!G88*'Headcount Cost Assumptions'!$E$11+'Business Plan Detailed'!G89*'Headcount Cost Assumptions'!$E$12+'Business Plan Detailed'!G90*'Headcount Cost Assumptions'!$E$13+'Business Plan Detailed'!G91*'Headcount Cost Assumptions'!$E$14+'Business Plan Detailed'!G92*'Headcount Cost Assumptions'!$E$15+'Business Plan Detailed'!G93*'Headcount Cost Assumptions'!$E$16+'Business Plan Detailed'!G94*'Headcount Cost Assumptions'!$E$17+'Business Plan Detailed'!G95*'Headcount Cost Assumptions'!$E$18+'Business Plan Detailed'!G96*'Headcount Cost Assumptions'!$E$19+'Business Plan Detailed'!G97*'Headcount Cost Assumptions'!$E$20+'Business Plan Detailed'!G98*'Headcount Cost Assumptions'!$E$21+'Business Plan Detailed'!G99*'Headcount Cost Assumptions'!$E$22+'Business Plan Detailed'!G100*'Headcount Cost Assumptions'!$E$23+'Business Plan Detailed'!G101*'Headcount Cost Assumptions'!$E$24+'Business Plan Detailed'!G102*'Headcount Cost Assumptions'!$E$25+G103*'Headcount Cost Assumptions'!$E$26+G104*'Headcount Cost Assumptions'!$E$27+'Business Plan Detailed'!G105*'Headcount Cost Assumptions'!$E$28+G106*'Headcount Cost Assumptions'!$E$29+'Business Plan Detailed'!G107*'Headcount Cost Assumptions'!$E$30</f>
        <v>23660</v>
      </c>
      <c r="H83" s="355">
        <f>'Business Plan Detailed'!H85*'Headcount Cost Assumptions'!$E$8+'Business Plan Detailed'!H86*'Headcount Cost Assumptions'!$E$9+'Business Plan Detailed'!H87*'Headcount Cost Assumptions'!$E$10+'Business Plan Detailed'!H88*'Headcount Cost Assumptions'!$E$11+'Business Plan Detailed'!H89*'Headcount Cost Assumptions'!$E$12+'Business Plan Detailed'!H90*'Headcount Cost Assumptions'!$E$13+'Business Plan Detailed'!H91*'Headcount Cost Assumptions'!$E$14+'Business Plan Detailed'!H92*'Headcount Cost Assumptions'!$E$15+'Business Plan Detailed'!H93*'Headcount Cost Assumptions'!$E$16+'Business Plan Detailed'!H94*'Headcount Cost Assumptions'!$E$17+'Business Plan Detailed'!H95*'Headcount Cost Assumptions'!$E$18+'Business Plan Detailed'!H96*'Headcount Cost Assumptions'!$E$19+'Business Plan Detailed'!H97*'Headcount Cost Assumptions'!$E$20+'Business Plan Detailed'!H98*'Headcount Cost Assumptions'!$E$21+'Business Plan Detailed'!H99*'Headcount Cost Assumptions'!$E$22+'Business Plan Detailed'!H100*'Headcount Cost Assumptions'!$E$23+'Business Plan Detailed'!H101*'Headcount Cost Assumptions'!$E$24+'Business Plan Detailed'!H102*'Headcount Cost Assumptions'!$E$25+H103*'Headcount Cost Assumptions'!$E$26+H104*'Headcount Cost Assumptions'!$E$27+'Business Plan Detailed'!H105*'Headcount Cost Assumptions'!$E$28+H106*'Headcount Cost Assumptions'!$E$29+'Business Plan Detailed'!H107*'Headcount Cost Assumptions'!$E$30</f>
        <v>23660</v>
      </c>
      <c r="I83" s="355">
        <f>'Business Plan Detailed'!I85*'Headcount Cost Assumptions'!$E$8+'Business Plan Detailed'!I86*'Headcount Cost Assumptions'!$E$9+'Business Plan Detailed'!I87*'Headcount Cost Assumptions'!$E$10+'Business Plan Detailed'!I88*'Headcount Cost Assumptions'!$E$11+'Business Plan Detailed'!I89*'Headcount Cost Assumptions'!$E$12+'Business Plan Detailed'!I90*'Headcount Cost Assumptions'!$E$13+'Business Plan Detailed'!I91*'Headcount Cost Assumptions'!$E$14+'Business Plan Detailed'!I92*'Headcount Cost Assumptions'!$E$15+'Business Plan Detailed'!I93*'Headcount Cost Assumptions'!$E$16+'Business Plan Detailed'!I94*'Headcount Cost Assumptions'!$E$17+'Business Plan Detailed'!I95*'Headcount Cost Assumptions'!$E$18+'Business Plan Detailed'!I96*'Headcount Cost Assumptions'!$E$19+'Business Plan Detailed'!I97*'Headcount Cost Assumptions'!$E$20+'Business Plan Detailed'!I98*'Headcount Cost Assumptions'!$E$21+'Business Plan Detailed'!I99*'Headcount Cost Assumptions'!$E$22+'Business Plan Detailed'!I100*'Headcount Cost Assumptions'!$E$23+'Business Plan Detailed'!I101*'Headcount Cost Assumptions'!$E$24+'Business Plan Detailed'!I102*'Headcount Cost Assumptions'!$E$25+I103*'Headcount Cost Assumptions'!$E$26+I104*'Headcount Cost Assumptions'!$E$27+'Business Plan Detailed'!I105*'Headcount Cost Assumptions'!$E$28+I106*'Headcount Cost Assumptions'!$E$29+'Business Plan Detailed'!I107*'Headcount Cost Assumptions'!$E$30</f>
        <v>23660</v>
      </c>
      <c r="J83" s="355">
        <f>'Business Plan Detailed'!J85*'Headcount Cost Assumptions'!$E$8+'Business Plan Detailed'!J86*'Headcount Cost Assumptions'!$E$9+'Business Plan Detailed'!J87*'Headcount Cost Assumptions'!$E$10+'Business Plan Detailed'!J88*'Headcount Cost Assumptions'!$E$11+'Business Plan Detailed'!J89*'Headcount Cost Assumptions'!$E$12+'Business Plan Detailed'!J90*'Headcount Cost Assumptions'!$E$13+'Business Plan Detailed'!J91*'Headcount Cost Assumptions'!$E$14+'Business Plan Detailed'!J92*'Headcount Cost Assumptions'!$E$15+'Business Plan Detailed'!J93*'Headcount Cost Assumptions'!$E$16+'Business Plan Detailed'!J94*'Headcount Cost Assumptions'!$E$17+'Business Plan Detailed'!J95*'Headcount Cost Assumptions'!$E$18+'Business Plan Detailed'!J96*'Headcount Cost Assumptions'!$E$19+'Business Plan Detailed'!J97*'Headcount Cost Assumptions'!$E$20+'Business Plan Detailed'!J98*'Headcount Cost Assumptions'!$E$21+'Business Plan Detailed'!J99*'Headcount Cost Assumptions'!$E$22+'Business Plan Detailed'!J100*'Headcount Cost Assumptions'!$E$23+'Business Plan Detailed'!J101*'Headcount Cost Assumptions'!$E$24+'Business Plan Detailed'!J102*'Headcount Cost Assumptions'!$E$25+J103*'Headcount Cost Assumptions'!$E$26+J104*'Headcount Cost Assumptions'!$E$27+'Business Plan Detailed'!J105*'Headcount Cost Assumptions'!$E$28+J106*'Headcount Cost Assumptions'!$E$29+'Business Plan Detailed'!J107*'Headcount Cost Assumptions'!$E$30</f>
        <v>23660</v>
      </c>
      <c r="K83" s="355">
        <f>'Business Plan Detailed'!K85*'Headcount Cost Assumptions'!$E$8+'Business Plan Detailed'!K86*'Headcount Cost Assumptions'!$E$9+'Business Plan Detailed'!K87*'Headcount Cost Assumptions'!$E$10+'Business Plan Detailed'!K88*'Headcount Cost Assumptions'!$E$11+'Business Plan Detailed'!K89*'Headcount Cost Assumptions'!$E$12+'Business Plan Detailed'!K90*'Headcount Cost Assumptions'!$E$13+'Business Plan Detailed'!K91*'Headcount Cost Assumptions'!$E$14+'Business Plan Detailed'!K92*'Headcount Cost Assumptions'!$E$15+'Business Plan Detailed'!K93*'Headcount Cost Assumptions'!$E$16+'Business Plan Detailed'!K94*'Headcount Cost Assumptions'!$E$17+'Business Plan Detailed'!K95*'Headcount Cost Assumptions'!$E$18+'Business Plan Detailed'!K96*'Headcount Cost Assumptions'!$E$19+'Business Plan Detailed'!K97*'Headcount Cost Assumptions'!$E$20+'Business Plan Detailed'!K98*'Headcount Cost Assumptions'!$E$21+'Business Plan Detailed'!K99*'Headcount Cost Assumptions'!$E$22+'Business Plan Detailed'!K100*'Headcount Cost Assumptions'!$E$23+'Business Plan Detailed'!K101*'Headcount Cost Assumptions'!$E$24+'Business Plan Detailed'!K102*'Headcount Cost Assumptions'!$E$25+K103*'Headcount Cost Assumptions'!$E$26+K104*'Headcount Cost Assumptions'!$E$27+'Business Plan Detailed'!K105*'Headcount Cost Assumptions'!$E$28+K106*'Headcount Cost Assumptions'!$E$29+'Business Plan Detailed'!K107*'Headcount Cost Assumptions'!$E$30</f>
        <v>23660</v>
      </c>
      <c r="L83" s="355">
        <f>'Business Plan Detailed'!L85*'Headcount Cost Assumptions'!$E$8+'Business Plan Detailed'!L86*'Headcount Cost Assumptions'!$E$9+'Business Plan Detailed'!L87*'Headcount Cost Assumptions'!$E$10+'Business Plan Detailed'!L88*'Headcount Cost Assumptions'!$E$11+'Business Plan Detailed'!L89*'Headcount Cost Assumptions'!$E$12+'Business Plan Detailed'!L90*'Headcount Cost Assumptions'!$E$13+'Business Plan Detailed'!L91*'Headcount Cost Assumptions'!$E$14+'Business Plan Detailed'!L92*'Headcount Cost Assumptions'!$E$15+'Business Plan Detailed'!L93*'Headcount Cost Assumptions'!$E$16+'Business Plan Detailed'!L94*'Headcount Cost Assumptions'!$E$17+'Business Plan Detailed'!L95*'Headcount Cost Assumptions'!$E$18+'Business Plan Detailed'!L96*'Headcount Cost Assumptions'!$E$19+'Business Plan Detailed'!L97*'Headcount Cost Assumptions'!$E$20+'Business Plan Detailed'!L98*'Headcount Cost Assumptions'!$E$21+'Business Plan Detailed'!L99*'Headcount Cost Assumptions'!$E$22+'Business Plan Detailed'!L100*'Headcount Cost Assumptions'!$E$23+'Business Plan Detailed'!L101*'Headcount Cost Assumptions'!$E$24+'Business Plan Detailed'!L102*'Headcount Cost Assumptions'!$E$25+L103*'Headcount Cost Assumptions'!$E$26+L104*'Headcount Cost Assumptions'!$E$27+'Business Plan Detailed'!L105*'Headcount Cost Assumptions'!$E$28+L106*'Headcount Cost Assumptions'!$E$29+'Business Plan Detailed'!L107*'Headcount Cost Assumptions'!$E$30</f>
        <v>23660</v>
      </c>
      <c r="M83" s="355">
        <f>'Business Plan Detailed'!M85*'Headcount Cost Assumptions'!$E$8+'Business Plan Detailed'!M86*'Headcount Cost Assumptions'!$E$9+'Business Plan Detailed'!M87*'Headcount Cost Assumptions'!$E$10+'Business Plan Detailed'!M88*'Headcount Cost Assumptions'!$E$11+'Business Plan Detailed'!M89*'Headcount Cost Assumptions'!$E$12+'Business Plan Detailed'!M90*'Headcount Cost Assumptions'!$E$13+'Business Plan Detailed'!M91*'Headcount Cost Assumptions'!$E$14+'Business Plan Detailed'!M92*'Headcount Cost Assumptions'!$E$15+'Business Plan Detailed'!M93*'Headcount Cost Assumptions'!$E$16+'Business Plan Detailed'!M94*'Headcount Cost Assumptions'!$E$17+'Business Plan Detailed'!M95*'Headcount Cost Assumptions'!$E$18+'Business Plan Detailed'!M96*'Headcount Cost Assumptions'!$E$19+'Business Plan Detailed'!M97*'Headcount Cost Assumptions'!$E$20+'Business Plan Detailed'!M98*'Headcount Cost Assumptions'!$E$21+'Business Plan Detailed'!M99*'Headcount Cost Assumptions'!$E$22+'Business Plan Detailed'!M100*'Headcount Cost Assumptions'!$E$23+'Business Plan Detailed'!M101*'Headcount Cost Assumptions'!$E$24+'Business Plan Detailed'!M102*'Headcount Cost Assumptions'!$E$25+M103*'Headcount Cost Assumptions'!$E$26+M104*'Headcount Cost Assumptions'!$E$27+'Business Plan Detailed'!M105*'Headcount Cost Assumptions'!$E$28+M106*'Headcount Cost Assumptions'!$E$29+'Business Plan Detailed'!M107*'Headcount Cost Assumptions'!$E$30</f>
        <v>23660</v>
      </c>
      <c r="N83" s="355">
        <f>'Business Plan Detailed'!N85*'Headcount Cost Assumptions'!$E$8+'Business Plan Detailed'!N86*'Headcount Cost Assumptions'!$E$9+'Business Plan Detailed'!N87*'Headcount Cost Assumptions'!$E$10+'Business Plan Detailed'!N88*'Headcount Cost Assumptions'!$E$11+'Business Plan Detailed'!N89*'Headcount Cost Assumptions'!$E$12+'Business Plan Detailed'!N90*'Headcount Cost Assumptions'!$E$13+'Business Plan Detailed'!N91*'Headcount Cost Assumptions'!$E$14+'Business Plan Detailed'!N92*'Headcount Cost Assumptions'!$E$15+'Business Plan Detailed'!N93*'Headcount Cost Assumptions'!$E$16+'Business Plan Detailed'!N94*'Headcount Cost Assumptions'!$E$17+'Business Plan Detailed'!N95*'Headcount Cost Assumptions'!$E$18+'Business Plan Detailed'!N96*'Headcount Cost Assumptions'!$E$19+'Business Plan Detailed'!N97*'Headcount Cost Assumptions'!$E$20+'Business Plan Detailed'!N98*'Headcount Cost Assumptions'!$E$21+'Business Plan Detailed'!N99*'Headcount Cost Assumptions'!$E$22+'Business Plan Detailed'!N100*'Headcount Cost Assumptions'!$E$23+'Business Plan Detailed'!N101*'Headcount Cost Assumptions'!$E$24+'Business Plan Detailed'!N102*'Headcount Cost Assumptions'!$E$25+N103*'Headcount Cost Assumptions'!$E$26+N104*'Headcount Cost Assumptions'!$E$27+'Business Plan Detailed'!N105*'Headcount Cost Assumptions'!$E$28+N106*'Headcount Cost Assumptions'!$E$29+'Business Plan Detailed'!N107*'Headcount Cost Assumptions'!$E$30</f>
        <v>23660</v>
      </c>
      <c r="O83" s="355">
        <f>'Business Plan Detailed'!O85*'Headcount Cost Assumptions'!$E$8+'Business Plan Detailed'!O86*'Headcount Cost Assumptions'!$E$9+'Business Plan Detailed'!O87*'Headcount Cost Assumptions'!$E$10+'Business Plan Detailed'!O88*'Headcount Cost Assumptions'!$E$11+'Business Plan Detailed'!O89*'Headcount Cost Assumptions'!$E$12+'Business Plan Detailed'!O90*'Headcount Cost Assumptions'!$E$13+'Business Plan Detailed'!O91*'Headcount Cost Assumptions'!$E$14+'Business Plan Detailed'!O92*'Headcount Cost Assumptions'!$E$15+'Business Plan Detailed'!O93*'Headcount Cost Assumptions'!$E$16+'Business Plan Detailed'!O94*'Headcount Cost Assumptions'!$E$17+'Business Plan Detailed'!O95*'Headcount Cost Assumptions'!$E$18+'Business Plan Detailed'!O96*'Headcount Cost Assumptions'!$E$19+'Business Plan Detailed'!O97*'Headcount Cost Assumptions'!$E$20+'Business Plan Detailed'!O98*'Headcount Cost Assumptions'!$E$21+'Business Plan Detailed'!O99*'Headcount Cost Assumptions'!$E$22+'Business Plan Detailed'!O100*'Headcount Cost Assumptions'!$E$23+'Business Plan Detailed'!O101*'Headcount Cost Assumptions'!$E$24+'Business Plan Detailed'!O102*'Headcount Cost Assumptions'!$E$25+O103*'Headcount Cost Assumptions'!$E$26+O104*'Headcount Cost Assumptions'!$E$27+'Business Plan Detailed'!O105*'Headcount Cost Assumptions'!$E$28+O106*'Headcount Cost Assumptions'!$E$29+'Business Plan Detailed'!O107*'Headcount Cost Assumptions'!$E$30</f>
        <v>23660</v>
      </c>
      <c r="P83" s="355">
        <f>'Business Plan Detailed'!P85*'Headcount Cost Assumptions'!$E$8+'Business Plan Detailed'!P86*'Headcount Cost Assumptions'!$E$9+'Business Plan Detailed'!P87*'Headcount Cost Assumptions'!$E$10+'Business Plan Detailed'!P88*'Headcount Cost Assumptions'!$E$11+'Business Plan Detailed'!P89*'Headcount Cost Assumptions'!$E$12+'Business Plan Detailed'!P90*'Headcount Cost Assumptions'!$E$13+'Business Plan Detailed'!P91*'Headcount Cost Assumptions'!$E$14+'Business Plan Detailed'!P92*'Headcount Cost Assumptions'!$E$15+'Business Plan Detailed'!P93*'Headcount Cost Assumptions'!$E$16+'Business Plan Detailed'!P94*'Headcount Cost Assumptions'!$E$17+'Business Plan Detailed'!P95*'Headcount Cost Assumptions'!$E$18+'Business Plan Detailed'!P96*'Headcount Cost Assumptions'!$E$19+'Business Plan Detailed'!P97*'Headcount Cost Assumptions'!$E$20+'Business Plan Detailed'!P98*'Headcount Cost Assumptions'!$E$21+'Business Plan Detailed'!P99*'Headcount Cost Assumptions'!$E$22+'Business Plan Detailed'!P100*'Headcount Cost Assumptions'!$E$23+'Business Plan Detailed'!P101*'Headcount Cost Assumptions'!$E$24+'Business Plan Detailed'!P102*'Headcount Cost Assumptions'!$E$25+P103*'Headcount Cost Assumptions'!$E$26+P104*'Headcount Cost Assumptions'!$E$27+'Business Plan Detailed'!P105*'Headcount Cost Assumptions'!$E$28+P106*'Headcount Cost Assumptions'!$E$29+'Business Plan Detailed'!P107*'Headcount Cost Assumptions'!$E$30</f>
        <v>23660</v>
      </c>
      <c r="Q83" s="355">
        <f>'Business Plan Detailed'!Q85*'Headcount Cost Assumptions'!$E$8+'Business Plan Detailed'!Q86*'Headcount Cost Assumptions'!$E$9+'Business Plan Detailed'!Q87*'Headcount Cost Assumptions'!$E$10+'Business Plan Detailed'!Q88*'Headcount Cost Assumptions'!$E$11+'Business Plan Detailed'!Q89*'Headcount Cost Assumptions'!$E$12+'Business Plan Detailed'!Q90*'Headcount Cost Assumptions'!$E$13+'Business Plan Detailed'!Q91*'Headcount Cost Assumptions'!$E$14+'Business Plan Detailed'!Q92*'Headcount Cost Assumptions'!$E$15+'Business Plan Detailed'!Q93*'Headcount Cost Assumptions'!$E$16+'Business Plan Detailed'!Q94*'Headcount Cost Assumptions'!$E$17+'Business Plan Detailed'!Q95*'Headcount Cost Assumptions'!$E$18+'Business Plan Detailed'!Q96*'Headcount Cost Assumptions'!$E$19+'Business Plan Detailed'!Q97*'Headcount Cost Assumptions'!$E$20+'Business Plan Detailed'!Q98*'Headcount Cost Assumptions'!$E$21+'Business Plan Detailed'!Q99*'Headcount Cost Assumptions'!$E$22+'Business Plan Detailed'!Q100*'Headcount Cost Assumptions'!$E$23+'Business Plan Detailed'!Q101*'Headcount Cost Assumptions'!$E$24+'Business Plan Detailed'!Q102*'Headcount Cost Assumptions'!$E$25+Q103*'Headcount Cost Assumptions'!$E$26+Q104*'Headcount Cost Assumptions'!$E$27+'Business Plan Detailed'!Q105*'Headcount Cost Assumptions'!$E$28+Q106*'Headcount Cost Assumptions'!$E$29+'Business Plan Detailed'!Q107*'Headcount Cost Assumptions'!$E$30</f>
        <v>23660</v>
      </c>
      <c r="R83" s="355">
        <f>'Business Plan Detailed'!R85*'Headcount Cost Assumptions'!$E$8+'Business Plan Detailed'!R86*'Headcount Cost Assumptions'!$E$9+'Business Plan Detailed'!R87*'Headcount Cost Assumptions'!$E$10+'Business Plan Detailed'!R88*'Headcount Cost Assumptions'!$E$11+'Business Plan Detailed'!R89*'Headcount Cost Assumptions'!$E$12+'Business Plan Detailed'!R90*'Headcount Cost Assumptions'!$E$13+'Business Plan Detailed'!R91*'Headcount Cost Assumptions'!$E$14+'Business Plan Detailed'!R92*'Headcount Cost Assumptions'!$E$15+'Business Plan Detailed'!R93*'Headcount Cost Assumptions'!$E$16+'Business Plan Detailed'!R94*'Headcount Cost Assumptions'!$E$17+'Business Plan Detailed'!R95*'Headcount Cost Assumptions'!$E$18+'Business Plan Detailed'!R96*'Headcount Cost Assumptions'!$E$19+'Business Plan Detailed'!R97*'Headcount Cost Assumptions'!$E$20+'Business Plan Detailed'!R98*'Headcount Cost Assumptions'!$E$21+'Business Plan Detailed'!R99*'Headcount Cost Assumptions'!$E$22+'Business Plan Detailed'!R100*'Headcount Cost Assumptions'!$E$23+'Business Plan Detailed'!R101*'Headcount Cost Assumptions'!$E$24+'Business Plan Detailed'!R102*'Headcount Cost Assumptions'!$E$25+R103*'Headcount Cost Assumptions'!$E$26+R104*'Headcount Cost Assumptions'!$E$27+'Business Plan Detailed'!R105*'Headcount Cost Assumptions'!$E$28+R106*'Headcount Cost Assumptions'!$E$29+'Business Plan Detailed'!R107*'Headcount Cost Assumptions'!$E$30</f>
        <v>23660</v>
      </c>
      <c r="S83" s="355">
        <f>'Business Plan Detailed'!S85*'Headcount Cost Assumptions'!$E$8+'Business Plan Detailed'!S86*'Headcount Cost Assumptions'!$E$9+'Business Plan Detailed'!S87*'Headcount Cost Assumptions'!$E$10+'Business Plan Detailed'!S88*'Headcount Cost Assumptions'!$E$11+'Business Plan Detailed'!S89*'Headcount Cost Assumptions'!$E$12+'Business Plan Detailed'!S90*'Headcount Cost Assumptions'!$E$13+'Business Plan Detailed'!S91*'Headcount Cost Assumptions'!$E$14+'Business Plan Detailed'!S92*'Headcount Cost Assumptions'!$E$15+'Business Plan Detailed'!S93*'Headcount Cost Assumptions'!$E$16+'Business Plan Detailed'!S94*'Headcount Cost Assumptions'!$E$17+'Business Plan Detailed'!S95*'Headcount Cost Assumptions'!$E$18+'Business Plan Detailed'!S96*'Headcount Cost Assumptions'!$E$19+'Business Plan Detailed'!S97*'Headcount Cost Assumptions'!$E$20+'Business Plan Detailed'!S98*'Headcount Cost Assumptions'!$E$21+'Business Plan Detailed'!S99*'Headcount Cost Assumptions'!$E$22+'Business Plan Detailed'!S100*'Headcount Cost Assumptions'!$E$23+'Business Plan Detailed'!S101*'Headcount Cost Assumptions'!$E$24+'Business Plan Detailed'!S102*'Headcount Cost Assumptions'!$E$25+S103*'Headcount Cost Assumptions'!$E$26+S104*'Headcount Cost Assumptions'!$E$27+'Business Plan Detailed'!S105*'Headcount Cost Assumptions'!$E$28+S106*'Headcount Cost Assumptions'!$E$29+'Business Plan Detailed'!S107*'Headcount Cost Assumptions'!$E$30</f>
        <v>23660</v>
      </c>
      <c r="T83" s="355">
        <f>'Business Plan Detailed'!T85*'Headcount Cost Assumptions'!$E$8+'Business Plan Detailed'!T86*'Headcount Cost Assumptions'!$E$9+'Business Plan Detailed'!T87*'Headcount Cost Assumptions'!$E$10+'Business Plan Detailed'!T88*'Headcount Cost Assumptions'!$E$11+'Business Plan Detailed'!T89*'Headcount Cost Assumptions'!$E$12+'Business Plan Detailed'!T90*'Headcount Cost Assumptions'!$E$13+'Business Plan Detailed'!T91*'Headcount Cost Assumptions'!$E$14+'Business Plan Detailed'!T92*'Headcount Cost Assumptions'!$E$15+'Business Plan Detailed'!T93*'Headcount Cost Assumptions'!$E$16+'Business Plan Detailed'!T94*'Headcount Cost Assumptions'!$E$17+'Business Plan Detailed'!T95*'Headcount Cost Assumptions'!$E$18+'Business Plan Detailed'!T96*'Headcount Cost Assumptions'!$E$19+'Business Plan Detailed'!T97*'Headcount Cost Assumptions'!$E$20+'Business Plan Detailed'!T98*'Headcount Cost Assumptions'!$E$21+'Business Plan Detailed'!T99*'Headcount Cost Assumptions'!$E$22+'Business Plan Detailed'!T100*'Headcount Cost Assumptions'!$E$23+'Business Plan Detailed'!T101*'Headcount Cost Assumptions'!$E$24+'Business Plan Detailed'!T102*'Headcount Cost Assumptions'!$E$25+T103*'Headcount Cost Assumptions'!$E$26+T104*'Headcount Cost Assumptions'!$E$27+'Business Plan Detailed'!T105*'Headcount Cost Assumptions'!$E$28+T106*'Headcount Cost Assumptions'!$E$29+'Business Plan Detailed'!T107*'Headcount Cost Assumptions'!$E$30</f>
        <v>23660</v>
      </c>
      <c r="U83" s="355">
        <f>'Business Plan Detailed'!U85*'Headcount Cost Assumptions'!$E$8+'Business Plan Detailed'!U86*'Headcount Cost Assumptions'!$E$9+'Business Plan Detailed'!U87*'Headcount Cost Assumptions'!$E$10+'Business Plan Detailed'!U88*'Headcount Cost Assumptions'!$E$11+'Business Plan Detailed'!U89*'Headcount Cost Assumptions'!$E$12+'Business Plan Detailed'!U90*'Headcount Cost Assumptions'!$E$13+'Business Plan Detailed'!U91*'Headcount Cost Assumptions'!$E$14+'Business Plan Detailed'!U92*'Headcount Cost Assumptions'!$E$15+'Business Plan Detailed'!U93*'Headcount Cost Assumptions'!$E$16+'Business Plan Detailed'!U94*'Headcount Cost Assumptions'!$E$17+'Business Plan Detailed'!U95*'Headcount Cost Assumptions'!$E$18+'Business Plan Detailed'!U96*'Headcount Cost Assumptions'!$E$19+'Business Plan Detailed'!U97*'Headcount Cost Assumptions'!$E$20+'Business Plan Detailed'!U98*'Headcount Cost Assumptions'!$E$21+'Business Plan Detailed'!U99*'Headcount Cost Assumptions'!$E$22+'Business Plan Detailed'!U100*'Headcount Cost Assumptions'!$E$23+'Business Plan Detailed'!U101*'Headcount Cost Assumptions'!$E$24+'Business Plan Detailed'!U102*'Headcount Cost Assumptions'!$E$25+U103*'Headcount Cost Assumptions'!$E$26+U104*'Headcount Cost Assumptions'!$E$27+'Business Plan Detailed'!U105*'Headcount Cost Assumptions'!$E$28+U106*'Headcount Cost Assumptions'!$E$29+'Business Plan Detailed'!U107*'Headcount Cost Assumptions'!$E$30</f>
        <v>23660</v>
      </c>
      <c r="V83" s="355">
        <f>'Business Plan Detailed'!V85*'Headcount Cost Assumptions'!$E$8+'Business Plan Detailed'!V86*'Headcount Cost Assumptions'!$E$9+'Business Plan Detailed'!V87*'Headcount Cost Assumptions'!$E$10+'Business Plan Detailed'!V88*'Headcount Cost Assumptions'!$E$11+'Business Plan Detailed'!V89*'Headcount Cost Assumptions'!$E$12+'Business Plan Detailed'!V90*'Headcount Cost Assumptions'!$E$13+'Business Plan Detailed'!V91*'Headcount Cost Assumptions'!$E$14+'Business Plan Detailed'!V92*'Headcount Cost Assumptions'!$E$15+'Business Plan Detailed'!V93*'Headcount Cost Assumptions'!$E$16+'Business Plan Detailed'!V94*'Headcount Cost Assumptions'!$E$17+'Business Plan Detailed'!V95*'Headcount Cost Assumptions'!$E$18+'Business Plan Detailed'!V96*'Headcount Cost Assumptions'!$E$19+'Business Plan Detailed'!V97*'Headcount Cost Assumptions'!$E$20+'Business Plan Detailed'!V98*'Headcount Cost Assumptions'!$E$21+'Business Plan Detailed'!V99*'Headcount Cost Assumptions'!$E$22+'Business Plan Detailed'!V100*'Headcount Cost Assumptions'!$E$23+'Business Plan Detailed'!V101*'Headcount Cost Assumptions'!$E$24+'Business Plan Detailed'!V102*'Headcount Cost Assumptions'!$E$25+V103*'Headcount Cost Assumptions'!$E$26+V104*'Headcount Cost Assumptions'!$E$27+'Business Plan Detailed'!V105*'Headcount Cost Assumptions'!$E$28+V106*'Headcount Cost Assumptions'!$E$29+'Business Plan Detailed'!V107*'Headcount Cost Assumptions'!$E$30</f>
        <v>23660</v>
      </c>
      <c r="W83" s="355">
        <f>'Business Plan Detailed'!W85*'Headcount Cost Assumptions'!$E$8+'Business Plan Detailed'!W86*'Headcount Cost Assumptions'!$E$9+'Business Plan Detailed'!W87*'Headcount Cost Assumptions'!$E$10+'Business Plan Detailed'!W88*'Headcount Cost Assumptions'!$E$11+'Business Plan Detailed'!W89*'Headcount Cost Assumptions'!$E$12+'Business Plan Detailed'!W90*'Headcount Cost Assumptions'!$E$13+'Business Plan Detailed'!W91*'Headcount Cost Assumptions'!$E$14+'Business Plan Detailed'!W92*'Headcount Cost Assumptions'!$E$15+'Business Plan Detailed'!W93*'Headcount Cost Assumptions'!$E$16+'Business Plan Detailed'!W94*'Headcount Cost Assumptions'!$E$17+'Business Plan Detailed'!W95*'Headcount Cost Assumptions'!$E$18+'Business Plan Detailed'!W96*'Headcount Cost Assumptions'!$E$19+'Business Plan Detailed'!W97*'Headcount Cost Assumptions'!$E$20+'Business Plan Detailed'!W98*'Headcount Cost Assumptions'!$E$21+'Business Plan Detailed'!W99*'Headcount Cost Assumptions'!$E$22+'Business Plan Detailed'!W100*'Headcount Cost Assumptions'!$E$23+'Business Plan Detailed'!W101*'Headcount Cost Assumptions'!$E$24+'Business Plan Detailed'!W102*'Headcount Cost Assumptions'!$E$25+W103*'Headcount Cost Assumptions'!$E$26+W104*'Headcount Cost Assumptions'!$E$27+'Business Plan Detailed'!W105*'Headcount Cost Assumptions'!$E$28+W106*'Headcount Cost Assumptions'!$E$29+'Business Plan Detailed'!W107*'Headcount Cost Assumptions'!$E$30</f>
        <v>23660</v>
      </c>
      <c r="X83" s="355">
        <f>'Business Plan Detailed'!X85*'Headcount Cost Assumptions'!$E$8+'Business Plan Detailed'!X86*'Headcount Cost Assumptions'!$E$9+'Business Plan Detailed'!X87*'Headcount Cost Assumptions'!$E$10+'Business Plan Detailed'!X88*'Headcount Cost Assumptions'!$E$11+'Business Plan Detailed'!X89*'Headcount Cost Assumptions'!$E$12+'Business Plan Detailed'!X90*'Headcount Cost Assumptions'!$E$13+'Business Plan Detailed'!X91*'Headcount Cost Assumptions'!$E$14+'Business Plan Detailed'!X92*'Headcount Cost Assumptions'!$E$15+'Business Plan Detailed'!X93*'Headcount Cost Assumptions'!$E$16+'Business Plan Detailed'!X94*'Headcount Cost Assumptions'!$E$17+'Business Plan Detailed'!X95*'Headcount Cost Assumptions'!$E$18+'Business Plan Detailed'!X96*'Headcount Cost Assumptions'!$E$19+'Business Plan Detailed'!X97*'Headcount Cost Assumptions'!$E$20+'Business Plan Detailed'!X98*'Headcount Cost Assumptions'!$E$21+'Business Plan Detailed'!X99*'Headcount Cost Assumptions'!$E$22+'Business Plan Detailed'!X100*'Headcount Cost Assumptions'!$E$23+'Business Plan Detailed'!X101*'Headcount Cost Assumptions'!$E$24+'Business Plan Detailed'!X102*'Headcount Cost Assumptions'!$E$25+X103*'Headcount Cost Assumptions'!$E$26+X104*'Headcount Cost Assumptions'!$E$27+'Business Plan Detailed'!X105*'Headcount Cost Assumptions'!$E$28+X106*'Headcount Cost Assumptions'!$E$29+'Business Plan Detailed'!X107*'Headcount Cost Assumptions'!$E$30</f>
        <v>23660</v>
      </c>
      <c r="Y83" s="355">
        <f>'Business Plan Detailed'!Y85*'Headcount Cost Assumptions'!$E$8+'Business Plan Detailed'!Y86*'Headcount Cost Assumptions'!$E$9+'Business Plan Detailed'!Y87*'Headcount Cost Assumptions'!$E$10+'Business Plan Detailed'!Y88*'Headcount Cost Assumptions'!$E$11+'Business Plan Detailed'!Y89*'Headcount Cost Assumptions'!$E$12+'Business Plan Detailed'!Y90*'Headcount Cost Assumptions'!$E$13+'Business Plan Detailed'!Y91*'Headcount Cost Assumptions'!$E$14+'Business Plan Detailed'!Y92*'Headcount Cost Assumptions'!$E$15+'Business Plan Detailed'!Y93*'Headcount Cost Assumptions'!$E$16+'Business Plan Detailed'!Y94*'Headcount Cost Assumptions'!$E$17+'Business Plan Detailed'!Y95*'Headcount Cost Assumptions'!$E$18+'Business Plan Detailed'!Y96*'Headcount Cost Assumptions'!$E$19+'Business Plan Detailed'!Y97*'Headcount Cost Assumptions'!$E$20+'Business Plan Detailed'!Y98*'Headcount Cost Assumptions'!$E$21+'Business Plan Detailed'!Y99*'Headcount Cost Assumptions'!$E$22+'Business Plan Detailed'!Y100*'Headcount Cost Assumptions'!$E$23+'Business Plan Detailed'!Y101*'Headcount Cost Assumptions'!$E$24+'Business Plan Detailed'!Y102*'Headcount Cost Assumptions'!$E$25+Y103*'Headcount Cost Assumptions'!$E$26+Y104*'Headcount Cost Assumptions'!$E$27+'Business Plan Detailed'!Y105*'Headcount Cost Assumptions'!$E$28+Y106*'Headcount Cost Assumptions'!$E$29+'Business Plan Detailed'!Y107*'Headcount Cost Assumptions'!$E$30</f>
        <v>23660</v>
      </c>
      <c r="Z83" s="355">
        <f>'Business Plan Detailed'!Z85*'Headcount Cost Assumptions'!$E$8+'Business Plan Detailed'!Z86*'Headcount Cost Assumptions'!$E$9+'Business Plan Detailed'!Z87*'Headcount Cost Assumptions'!$E$10+'Business Plan Detailed'!Z88*'Headcount Cost Assumptions'!$E$11+'Business Plan Detailed'!Z89*'Headcount Cost Assumptions'!$E$12+'Business Plan Detailed'!Z90*'Headcount Cost Assumptions'!$E$13+'Business Plan Detailed'!Z91*'Headcount Cost Assumptions'!$E$14+'Business Plan Detailed'!Z92*'Headcount Cost Assumptions'!$E$15+'Business Plan Detailed'!Z93*'Headcount Cost Assumptions'!$E$16+'Business Plan Detailed'!Z94*'Headcount Cost Assumptions'!$E$17+'Business Plan Detailed'!Z95*'Headcount Cost Assumptions'!$E$18+'Business Plan Detailed'!Z96*'Headcount Cost Assumptions'!$E$19+'Business Plan Detailed'!Z97*'Headcount Cost Assumptions'!$E$20+'Business Plan Detailed'!Z98*'Headcount Cost Assumptions'!$E$21+'Business Plan Detailed'!Z99*'Headcount Cost Assumptions'!$E$22+'Business Plan Detailed'!Z100*'Headcount Cost Assumptions'!$E$23+'Business Plan Detailed'!Z101*'Headcount Cost Assumptions'!$E$24+'Business Plan Detailed'!Z102*'Headcount Cost Assumptions'!$E$25+Z103*'Headcount Cost Assumptions'!$E$26+Z104*'Headcount Cost Assumptions'!$E$27+'Business Plan Detailed'!Z105*'Headcount Cost Assumptions'!$E$28+Z106*'Headcount Cost Assumptions'!$E$29+'Business Plan Detailed'!Z107*'Headcount Cost Assumptions'!$E$30</f>
        <v>23660</v>
      </c>
      <c r="AA83" s="355">
        <f>'Business Plan Detailed'!AA85*'Headcount Cost Assumptions'!$E$8+'Business Plan Detailed'!AA86*'Headcount Cost Assumptions'!$E$9+'Business Plan Detailed'!AA87*'Headcount Cost Assumptions'!$E$10+'Business Plan Detailed'!AA88*'Headcount Cost Assumptions'!$E$11+'Business Plan Detailed'!AA89*'Headcount Cost Assumptions'!$E$12+'Business Plan Detailed'!AA90*'Headcount Cost Assumptions'!$E$13+'Business Plan Detailed'!AA91*'Headcount Cost Assumptions'!$E$14+'Business Plan Detailed'!AA92*'Headcount Cost Assumptions'!$E$15+'Business Plan Detailed'!AA93*'Headcount Cost Assumptions'!$E$16+'Business Plan Detailed'!AA94*'Headcount Cost Assumptions'!$E$17+'Business Plan Detailed'!AA95*'Headcount Cost Assumptions'!$E$18+'Business Plan Detailed'!AA96*'Headcount Cost Assumptions'!$E$19+'Business Plan Detailed'!AA97*'Headcount Cost Assumptions'!$E$20+'Business Plan Detailed'!AA98*'Headcount Cost Assumptions'!$E$21+'Business Plan Detailed'!AA99*'Headcount Cost Assumptions'!$E$22+'Business Plan Detailed'!AA100*'Headcount Cost Assumptions'!$E$23+'Business Plan Detailed'!AA101*'Headcount Cost Assumptions'!$E$24+'Business Plan Detailed'!AA102*'Headcount Cost Assumptions'!$E$25+AA103*'Headcount Cost Assumptions'!$E$26+AA104*'Headcount Cost Assumptions'!$E$27+'Business Plan Detailed'!AA105*'Headcount Cost Assumptions'!$E$28+AA106*'Headcount Cost Assumptions'!$E$29+'Business Plan Detailed'!AA107*'Headcount Cost Assumptions'!$E$30</f>
        <v>23660</v>
      </c>
      <c r="AB83" s="355">
        <f>'Business Plan Detailed'!AB85*'Headcount Cost Assumptions'!$E$8+'Business Plan Detailed'!AB86*'Headcount Cost Assumptions'!$E$9+'Business Plan Detailed'!AB87*'Headcount Cost Assumptions'!$E$10+'Business Plan Detailed'!AB88*'Headcount Cost Assumptions'!$E$11+'Business Plan Detailed'!AB89*'Headcount Cost Assumptions'!$E$12+'Business Plan Detailed'!AB90*'Headcount Cost Assumptions'!$E$13+'Business Plan Detailed'!AB91*'Headcount Cost Assumptions'!$E$14+'Business Plan Detailed'!AB92*'Headcount Cost Assumptions'!$E$15+'Business Plan Detailed'!AB93*'Headcount Cost Assumptions'!$E$16+'Business Plan Detailed'!AB94*'Headcount Cost Assumptions'!$E$17+'Business Plan Detailed'!AB95*'Headcount Cost Assumptions'!$E$18+'Business Plan Detailed'!AB96*'Headcount Cost Assumptions'!$E$19+'Business Plan Detailed'!AB97*'Headcount Cost Assumptions'!$E$20+'Business Plan Detailed'!AB98*'Headcount Cost Assumptions'!$E$21+'Business Plan Detailed'!AB99*'Headcount Cost Assumptions'!$E$22+'Business Plan Detailed'!AB100*'Headcount Cost Assumptions'!$E$23+'Business Plan Detailed'!AB101*'Headcount Cost Assumptions'!$E$24+'Business Plan Detailed'!AB102*'Headcount Cost Assumptions'!$E$25+AB103*'Headcount Cost Assumptions'!$E$26+AB104*'Headcount Cost Assumptions'!$E$27+'Business Plan Detailed'!AB105*'Headcount Cost Assumptions'!$E$28+AB106*'Headcount Cost Assumptions'!$E$29+'Business Plan Detailed'!AB107*'Headcount Cost Assumptions'!$E$30</f>
        <v>27170</v>
      </c>
      <c r="AC83" s="355">
        <f>'Business Plan Detailed'!AC85*'Headcount Cost Assumptions'!$E$8+'Business Plan Detailed'!AC86*'Headcount Cost Assumptions'!$E$9+'Business Plan Detailed'!AC87*'Headcount Cost Assumptions'!$E$10+'Business Plan Detailed'!AC88*'Headcount Cost Assumptions'!$E$11+'Business Plan Detailed'!AC89*'Headcount Cost Assumptions'!$E$12+'Business Plan Detailed'!AC90*'Headcount Cost Assumptions'!$E$13+'Business Plan Detailed'!AC91*'Headcount Cost Assumptions'!$E$14+'Business Plan Detailed'!AC92*'Headcount Cost Assumptions'!$E$15+'Business Plan Detailed'!AC93*'Headcount Cost Assumptions'!$E$16+'Business Plan Detailed'!AC94*'Headcount Cost Assumptions'!$E$17+'Business Plan Detailed'!AC95*'Headcount Cost Assumptions'!$E$18+'Business Plan Detailed'!AC96*'Headcount Cost Assumptions'!$E$19+'Business Plan Detailed'!AC97*'Headcount Cost Assumptions'!$E$20+'Business Plan Detailed'!AC98*'Headcount Cost Assumptions'!$E$21+'Business Plan Detailed'!AC99*'Headcount Cost Assumptions'!$E$22+'Business Plan Detailed'!AC100*'Headcount Cost Assumptions'!$E$23+'Business Plan Detailed'!AC101*'Headcount Cost Assumptions'!$E$24+'Business Plan Detailed'!AC102*'Headcount Cost Assumptions'!$E$25+AC103*'Headcount Cost Assumptions'!$E$26+AC104*'Headcount Cost Assumptions'!$E$27+'Business Plan Detailed'!AC105*'Headcount Cost Assumptions'!$E$28+AC106*'Headcount Cost Assumptions'!$E$29+'Business Plan Detailed'!AC107*'Headcount Cost Assumptions'!$E$30</f>
        <v>27170</v>
      </c>
      <c r="AD83" s="355">
        <f>'Business Plan Detailed'!AD85*'Headcount Cost Assumptions'!$E$8+'Business Plan Detailed'!AD86*'Headcount Cost Assumptions'!$E$9+'Business Plan Detailed'!AD87*'Headcount Cost Assumptions'!$E$10+'Business Plan Detailed'!AD88*'Headcount Cost Assumptions'!$E$11+'Business Plan Detailed'!AD89*'Headcount Cost Assumptions'!$E$12+'Business Plan Detailed'!AD90*'Headcount Cost Assumptions'!$E$13+'Business Plan Detailed'!AD91*'Headcount Cost Assumptions'!$E$14+'Business Plan Detailed'!AD92*'Headcount Cost Assumptions'!$E$15+'Business Plan Detailed'!AD93*'Headcount Cost Assumptions'!$E$16+'Business Plan Detailed'!AD94*'Headcount Cost Assumptions'!$E$17+'Business Plan Detailed'!AD95*'Headcount Cost Assumptions'!$E$18+'Business Plan Detailed'!AD96*'Headcount Cost Assumptions'!$E$19+'Business Plan Detailed'!AD97*'Headcount Cost Assumptions'!$E$20+'Business Plan Detailed'!AD98*'Headcount Cost Assumptions'!$E$21+'Business Plan Detailed'!AD99*'Headcount Cost Assumptions'!$E$22+'Business Plan Detailed'!AD100*'Headcount Cost Assumptions'!$E$23+'Business Plan Detailed'!AD101*'Headcount Cost Assumptions'!$E$24+'Business Plan Detailed'!AD102*'Headcount Cost Assumptions'!$E$25+AD103*'Headcount Cost Assumptions'!$E$26+AD104*'Headcount Cost Assumptions'!$E$27+'Business Plan Detailed'!AD105*'Headcount Cost Assumptions'!$E$28+AD106*'Headcount Cost Assumptions'!$E$29+'Business Plan Detailed'!AD107*'Headcount Cost Assumptions'!$E$30</f>
        <v>27170</v>
      </c>
      <c r="AE83" s="355">
        <f>'Business Plan Detailed'!AE85*'Headcount Cost Assumptions'!$E$8+'Business Plan Detailed'!AE86*'Headcount Cost Assumptions'!$E$9+'Business Plan Detailed'!AE87*'Headcount Cost Assumptions'!$E$10+'Business Plan Detailed'!AE88*'Headcount Cost Assumptions'!$E$11+'Business Plan Detailed'!AE89*'Headcount Cost Assumptions'!$E$12+'Business Plan Detailed'!AE90*'Headcount Cost Assumptions'!$E$13+'Business Plan Detailed'!AE91*'Headcount Cost Assumptions'!$E$14+'Business Plan Detailed'!AE92*'Headcount Cost Assumptions'!$E$15+'Business Plan Detailed'!AE93*'Headcount Cost Assumptions'!$E$16+'Business Plan Detailed'!AE94*'Headcount Cost Assumptions'!$E$17+'Business Plan Detailed'!AE95*'Headcount Cost Assumptions'!$E$18+'Business Plan Detailed'!AE96*'Headcount Cost Assumptions'!$E$19+'Business Plan Detailed'!AE97*'Headcount Cost Assumptions'!$E$20+'Business Plan Detailed'!AE98*'Headcount Cost Assumptions'!$E$21+'Business Plan Detailed'!AE99*'Headcount Cost Assumptions'!$E$22+'Business Plan Detailed'!AE100*'Headcount Cost Assumptions'!$E$23+'Business Plan Detailed'!AE101*'Headcount Cost Assumptions'!$E$24+'Business Plan Detailed'!AE102*'Headcount Cost Assumptions'!$E$25+AE103*'Headcount Cost Assumptions'!$E$26+AE104*'Headcount Cost Assumptions'!$E$27+'Business Plan Detailed'!AE105*'Headcount Cost Assumptions'!$E$28+AE106*'Headcount Cost Assumptions'!$E$29+'Business Plan Detailed'!AE107*'Headcount Cost Assumptions'!$E$30</f>
        <v>27170</v>
      </c>
      <c r="AF83" s="355">
        <f>'Business Plan Detailed'!AF85*'Headcount Cost Assumptions'!$E$8+'Business Plan Detailed'!AF86*'Headcount Cost Assumptions'!$E$9+'Business Plan Detailed'!AF87*'Headcount Cost Assumptions'!$E$10+'Business Plan Detailed'!AF88*'Headcount Cost Assumptions'!$E$11+'Business Plan Detailed'!AF89*'Headcount Cost Assumptions'!$E$12+'Business Plan Detailed'!AF90*'Headcount Cost Assumptions'!$E$13+'Business Plan Detailed'!AF91*'Headcount Cost Assumptions'!$E$14+'Business Plan Detailed'!AF92*'Headcount Cost Assumptions'!$E$15+'Business Plan Detailed'!AF93*'Headcount Cost Assumptions'!$E$16+'Business Plan Detailed'!AF94*'Headcount Cost Assumptions'!$E$17+'Business Plan Detailed'!AF95*'Headcount Cost Assumptions'!$E$18+'Business Plan Detailed'!AF96*'Headcount Cost Assumptions'!$E$19+'Business Plan Detailed'!AF97*'Headcount Cost Assumptions'!$E$20+'Business Plan Detailed'!AF98*'Headcount Cost Assumptions'!$E$21+'Business Plan Detailed'!AF99*'Headcount Cost Assumptions'!$E$22+'Business Plan Detailed'!AF100*'Headcount Cost Assumptions'!$E$23+'Business Plan Detailed'!AF101*'Headcount Cost Assumptions'!$E$24+'Business Plan Detailed'!AF102*'Headcount Cost Assumptions'!$E$25+AF103*'Headcount Cost Assumptions'!$E$26+AF104*'Headcount Cost Assumptions'!$E$27+'Business Plan Detailed'!AF105*'Headcount Cost Assumptions'!$E$28+AF106*'Headcount Cost Assumptions'!$E$29+'Business Plan Detailed'!AF107*'Headcount Cost Assumptions'!$E$30</f>
        <v>27170</v>
      </c>
      <c r="AG83" s="355">
        <f>'Business Plan Detailed'!AG85*'Headcount Cost Assumptions'!$E$8+'Business Plan Detailed'!AG86*'Headcount Cost Assumptions'!$E$9+'Business Plan Detailed'!AG87*'Headcount Cost Assumptions'!$E$10+'Business Plan Detailed'!AG88*'Headcount Cost Assumptions'!$E$11+'Business Plan Detailed'!AG89*'Headcount Cost Assumptions'!$E$12+'Business Plan Detailed'!AG90*'Headcount Cost Assumptions'!$E$13+'Business Plan Detailed'!AG91*'Headcount Cost Assumptions'!$E$14+'Business Plan Detailed'!AG92*'Headcount Cost Assumptions'!$E$15+'Business Plan Detailed'!AG93*'Headcount Cost Assumptions'!$E$16+'Business Plan Detailed'!AG94*'Headcount Cost Assumptions'!$E$17+'Business Plan Detailed'!AG95*'Headcount Cost Assumptions'!$E$18+'Business Plan Detailed'!AG96*'Headcount Cost Assumptions'!$E$19+'Business Plan Detailed'!AG97*'Headcount Cost Assumptions'!$E$20+'Business Plan Detailed'!AG98*'Headcount Cost Assumptions'!$E$21+'Business Plan Detailed'!AG99*'Headcount Cost Assumptions'!$E$22+'Business Plan Detailed'!AG100*'Headcount Cost Assumptions'!$E$23+'Business Plan Detailed'!AG101*'Headcount Cost Assumptions'!$E$24+'Business Plan Detailed'!AG102*'Headcount Cost Assumptions'!$E$25+AG103*'Headcount Cost Assumptions'!$E$26+AG104*'Headcount Cost Assumptions'!$E$27+'Business Plan Detailed'!AG105*'Headcount Cost Assumptions'!$E$28+AG106*'Headcount Cost Assumptions'!$E$29+'Business Plan Detailed'!AG107*'Headcount Cost Assumptions'!$E$30</f>
        <v>27170</v>
      </c>
      <c r="AH83" s="355">
        <f>'Business Plan Detailed'!AH85*'Headcount Cost Assumptions'!$E$8+'Business Plan Detailed'!AH86*'Headcount Cost Assumptions'!$E$9+'Business Plan Detailed'!AH87*'Headcount Cost Assumptions'!$E$10+'Business Plan Detailed'!AH88*'Headcount Cost Assumptions'!$E$11+'Business Plan Detailed'!AH89*'Headcount Cost Assumptions'!$E$12+'Business Plan Detailed'!AH90*'Headcount Cost Assumptions'!$E$13+'Business Plan Detailed'!AH91*'Headcount Cost Assumptions'!$E$14+'Business Plan Detailed'!AH92*'Headcount Cost Assumptions'!$E$15+'Business Plan Detailed'!AH93*'Headcount Cost Assumptions'!$E$16+'Business Plan Detailed'!AH94*'Headcount Cost Assumptions'!$E$17+'Business Plan Detailed'!AH95*'Headcount Cost Assumptions'!$E$18+'Business Plan Detailed'!AH96*'Headcount Cost Assumptions'!$E$19+'Business Plan Detailed'!AH97*'Headcount Cost Assumptions'!$E$20+'Business Plan Detailed'!AH98*'Headcount Cost Assumptions'!$E$21+'Business Plan Detailed'!AH99*'Headcount Cost Assumptions'!$E$22+'Business Plan Detailed'!AH100*'Headcount Cost Assumptions'!$E$23+'Business Plan Detailed'!AH101*'Headcount Cost Assumptions'!$E$24+'Business Plan Detailed'!AH102*'Headcount Cost Assumptions'!$E$25+AH103*'Headcount Cost Assumptions'!$E$26+AH104*'Headcount Cost Assumptions'!$E$27+'Business Plan Detailed'!AH105*'Headcount Cost Assumptions'!$E$28+AH106*'Headcount Cost Assumptions'!$E$29+'Business Plan Detailed'!AH107*'Headcount Cost Assumptions'!$E$30</f>
        <v>27170</v>
      </c>
      <c r="AI83" s="355">
        <f>'Business Plan Detailed'!AI85*'Headcount Cost Assumptions'!$E$8+'Business Plan Detailed'!AI86*'Headcount Cost Assumptions'!$E$9+'Business Plan Detailed'!AI87*'Headcount Cost Assumptions'!$E$10+'Business Plan Detailed'!AI88*'Headcount Cost Assumptions'!$E$11+'Business Plan Detailed'!AI89*'Headcount Cost Assumptions'!$E$12+'Business Plan Detailed'!AI90*'Headcount Cost Assumptions'!$E$13+'Business Plan Detailed'!AI91*'Headcount Cost Assumptions'!$E$14+'Business Plan Detailed'!AI92*'Headcount Cost Assumptions'!$E$15+'Business Plan Detailed'!AI93*'Headcount Cost Assumptions'!$E$16+'Business Plan Detailed'!AI94*'Headcount Cost Assumptions'!$E$17+'Business Plan Detailed'!AI95*'Headcount Cost Assumptions'!$E$18+'Business Plan Detailed'!AI96*'Headcount Cost Assumptions'!$E$19+'Business Plan Detailed'!AI97*'Headcount Cost Assumptions'!$E$20+'Business Plan Detailed'!AI98*'Headcount Cost Assumptions'!$E$21+'Business Plan Detailed'!AI99*'Headcount Cost Assumptions'!$E$22+'Business Plan Detailed'!AI100*'Headcount Cost Assumptions'!$E$23+'Business Plan Detailed'!AI101*'Headcount Cost Assumptions'!$E$24+'Business Plan Detailed'!AI102*'Headcount Cost Assumptions'!$E$25+AI103*'Headcount Cost Assumptions'!$E$26+AI104*'Headcount Cost Assumptions'!$E$27+'Business Plan Detailed'!AI105*'Headcount Cost Assumptions'!$E$28+AI106*'Headcount Cost Assumptions'!$E$29+'Business Plan Detailed'!AI107*'Headcount Cost Assumptions'!$E$30</f>
        <v>27170</v>
      </c>
      <c r="AJ83" s="355">
        <f>'Business Plan Detailed'!AJ85*'Headcount Cost Assumptions'!$E$8+'Business Plan Detailed'!AJ86*'Headcount Cost Assumptions'!$E$9+'Business Plan Detailed'!AJ87*'Headcount Cost Assumptions'!$E$10+'Business Plan Detailed'!AJ88*'Headcount Cost Assumptions'!$E$11+'Business Plan Detailed'!AJ89*'Headcount Cost Assumptions'!$E$12+'Business Plan Detailed'!AJ90*'Headcount Cost Assumptions'!$E$13+'Business Plan Detailed'!AJ91*'Headcount Cost Assumptions'!$E$14+'Business Plan Detailed'!AJ92*'Headcount Cost Assumptions'!$E$15+'Business Plan Detailed'!AJ93*'Headcount Cost Assumptions'!$E$16+'Business Plan Detailed'!AJ94*'Headcount Cost Assumptions'!$E$17+'Business Plan Detailed'!AJ95*'Headcount Cost Assumptions'!$E$18+'Business Plan Detailed'!AJ96*'Headcount Cost Assumptions'!$E$19+'Business Plan Detailed'!AJ97*'Headcount Cost Assumptions'!$E$20+'Business Plan Detailed'!AJ98*'Headcount Cost Assumptions'!$E$21+'Business Plan Detailed'!AJ99*'Headcount Cost Assumptions'!$E$22+'Business Plan Detailed'!AJ100*'Headcount Cost Assumptions'!$E$23+'Business Plan Detailed'!AJ101*'Headcount Cost Assumptions'!$E$24+'Business Plan Detailed'!AJ102*'Headcount Cost Assumptions'!$E$25+AJ103*'Headcount Cost Assumptions'!$E$26+AJ104*'Headcount Cost Assumptions'!$E$27+'Business Plan Detailed'!AJ105*'Headcount Cost Assumptions'!$E$28+AJ106*'Headcount Cost Assumptions'!$E$29+'Business Plan Detailed'!AJ107*'Headcount Cost Assumptions'!$E$30</f>
        <v>27170</v>
      </c>
      <c r="AK83" s="355">
        <f>'Business Plan Detailed'!AK85*'Headcount Cost Assumptions'!$E$8+'Business Plan Detailed'!AK86*'Headcount Cost Assumptions'!$E$9+'Business Plan Detailed'!AK87*'Headcount Cost Assumptions'!$E$10+'Business Plan Detailed'!AK88*'Headcount Cost Assumptions'!$E$11+'Business Plan Detailed'!AK89*'Headcount Cost Assumptions'!$E$12+'Business Plan Detailed'!AK90*'Headcount Cost Assumptions'!$E$13+'Business Plan Detailed'!AK91*'Headcount Cost Assumptions'!$E$14+'Business Plan Detailed'!AK92*'Headcount Cost Assumptions'!$E$15+'Business Plan Detailed'!AK93*'Headcount Cost Assumptions'!$E$16+'Business Plan Detailed'!AK94*'Headcount Cost Assumptions'!$E$17+'Business Plan Detailed'!AK95*'Headcount Cost Assumptions'!$E$18+'Business Plan Detailed'!AK96*'Headcount Cost Assumptions'!$E$19+'Business Plan Detailed'!AK97*'Headcount Cost Assumptions'!$E$20+'Business Plan Detailed'!AK98*'Headcount Cost Assumptions'!$E$21+'Business Plan Detailed'!AK99*'Headcount Cost Assumptions'!$E$22+'Business Plan Detailed'!AK100*'Headcount Cost Assumptions'!$E$23+'Business Plan Detailed'!AK101*'Headcount Cost Assumptions'!$E$24+'Business Plan Detailed'!AK102*'Headcount Cost Assumptions'!$E$25+AK103*'Headcount Cost Assumptions'!$E$26+AK104*'Headcount Cost Assumptions'!$E$27+'Business Plan Detailed'!AK105*'Headcount Cost Assumptions'!$E$28+AK106*'Headcount Cost Assumptions'!$E$29+'Business Plan Detailed'!AK107*'Headcount Cost Assumptions'!$E$30</f>
        <v>27170</v>
      </c>
      <c r="AL83" s="355">
        <f>'Business Plan Detailed'!AL85*'Headcount Cost Assumptions'!$E$8+'Business Plan Detailed'!AL86*'Headcount Cost Assumptions'!$E$9+'Business Plan Detailed'!AL87*'Headcount Cost Assumptions'!$E$10+'Business Plan Detailed'!AL88*'Headcount Cost Assumptions'!$E$11+'Business Plan Detailed'!AL89*'Headcount Cost Assumptions'!$E$12+'Business Plan Detailed'!AL90*'Headcount Cost Assumptions'!$E$13+'Business Plan Detailed'!AL91*'Headcount Cost Assumptions'!$E$14+'Business Plan Detailed'!AL92*'Headcount Cost Assumptions'!$E$15+'Business Plan Detailed'!AL93*'Headcount Cost Assumptions'!$E$16+'Business Plan Detailed'!AL94*'Headcount Cost Assumptions'!$E$17+'Business Plan Detailed'!AL95*'Headcount Cost Assumptions'!$E$18+'Business Plan Detailed'!AL96*'Headcount Cost Assumptions'!$E$19+'Business Plan Detailed'!AL97*'Headcount Cost Assumptions'!$E$20+'Business Plan Detailed'!AL98*'Headcount Cost Assumptions'!$E$21+'Business Plan Detailed'!AL99*'Headcount Cost Assumptions'!$E$22+'Business Plan Detailed'!AL100*'Headcount Cost Assumptions'!$E$23+'Business Plan Detailed'!AL101*'Headcount Cost Assumptions'!$E$24+'Business Plan Detailed'!AL102*'Headcount Cost Assumptions'!$E$25+AL103*'Headcount Cost Assumptions'!$E$26+AL104*'Headcount Cost Assumptions'!$E$27+'Business Plan Detailed'!AL105*'Headcount Cost Assumptions'!$E$28+AL106*'Headcount Cost Assumptions'!$E$29+'Business Plan Detailed'!AL107*'Headcount Cost Assumptions'!$E$30</f>
        <v>30680</v>
      </c>
      <c r="AM83" s="355">
        <f>'Business Plan Detailed'!AM85*'Headcount Cost Assumptions'!$E$8+'Business Plan Detailed'!AM86*'Headcount Cost Assumptions'!$E$9+'Business Plan Detailed'!AM87*'Headcount Cost Assumptions'!$E$10+'Business Plan Detailed'!AM88*'Headcount Cost Assumptions'!$E$11+'Business Plan Detailed'!AM89*'Headcount Cost Assumptions'!$E$12+'Business Plan Detailed'!AM90*'Headcount Cost Assumptions'!$E$13+'Business Plan Detailed'!AM91*'Headcount Cost Assumptions'!$E$14+'Business Plan Detailed'!AM92*'Headcount Cost Assumptions'!$E$15+'Business Plan Detailed'!AM93*'Headcount Cost Assumptions'!$E$16+'Business Plan Detailed'!AM94*'Headcount Cost Assumptions'!$E$17+'Business Plan Detailed'!AM95*'Headcount Cost Assumptions'!$E$18+'Business Plan Detailed'!AM96*'Headcount Cost Assumptions'!$E$19+'Business Plan Detailed'!AM97*'Headcount Cost Assumptions'!$E$20+'Business Plan Detailed'!AM98*'Headcount Cost Assumptions'!$E$21+'Business Plan Detailed'!AM99*'Headcount Cost Assumptions'!$E$22+'Business Plan Detailed'!AM100*'Headcount Cost Assumptions'!$E$23+'Business Plan Detailed'!AM101*'Headcount Cost Assumptions'!$E$24+'Business Plan Detailed'!AM102*'Headcount Cost Assumptions'!$E$25+AM103*'Headcount Cost Assumptions'!$E$26+AM104*'Headcount Cost Assumptions'!$E$27+'Business Plan Detailed'!AM105*'Headcount Cost Assumptions'!$E$28+AM106*'Headcount Cost Assumptions'!$E$29+'Business Plan Detailed'!AM107*'Headcount Cost Assumptions'!$E$30</f>
        <v>30680</v>
      </c>
      <c r="AN83" s="355">
        <f>'Business Plan Detailed'!AN85*'Headcount Cost Assumptions'!$E$8+'Business Plan Detailed'!AN86*'Headcount Cost Assumptions'!$E$9+'Business Plan Detailed'!AN87*'Headcount Cost Assumptions'!$E$10+'Business Plan Detailed'!AN88*'Headcount Cost Assumptions'!$E$11+'Business Plan Detailed'!AN89*'Headcount Cost Assumptions'!$E$12+'Business Plan Detailed'!AN90*'Headcount Cost Assumptions'!$E$13+'Business Plan Detailed'!AN91*'Headcount Cost Assumptions'!$E$14+'Business Plan Detailed'!AN92*'Headcount Cost Assumptions'!$E$15+'Business Plan Detailed'!AN93*'Headcount Cost Assumptions'!$E$16+'Business Plan Detailed'!AN94*'Headcount Cost Assumptions'!$E$17+'Business Plan Detailed'!AN95*'Headcount Cost Assumptions'!$E$18+'Business Plan Detailed'!AN96*'Headcount Cost Assumptions'!$E$19+'Business Plan Detailed'!AN97*'Headcount Cost Assumptions'!$E$20+'Business Plan Detailed'!AN98*'Headcount Cost Assumptions'!$E$21+'Business Plan Detailed'!AN99*'Headcount Cost Assumptions'!$E$22+'Business Plan Detailed'!AN100*'Headcount Cost Assumptions'!$E$23+'Business Plan Detailed'!AN101*'Headcount Cost Assumptions'!$E$24+'Business Plan Detailed'!AN102*'Headcount Cost Assumptions'!$E$25+AN103*'Headcount Cost Assumptions'!$E$26+AN104*'Headcount Cost Assumptions'!$E$27+'Business Plan Detailed'!AN105*'Headcount Cost Assumptions'!$E$28+AN106*'Headcount Cost Assumptions'!$E$29+'Business Plan Detailed'!AN107*'Headcount Cost Assumptions'!$E$30</f>
        <v>32240</v>
      </c>
      <c r="AO83" s="355">
        <f>'Business Plan Detailed'!AO85*'Headcount Cost Assumptions'!$E$8+'Business Plan Detailed'!AO86*'Headcount Cost Assumptions'!$E$9+'Business Plan Detailed'!AO87*'Headcount Cost Assumptions'!$E$10+'Business Plan Detailed'!AO88*'Headcount Cost Assumptions'!$E$11+'Business Plan Detailed'!AO89*'Headcount Cost Assumptions'!$E$12+'Business Plan Detailed'!AO90*'Headcount Cost Assumptions'!$E$13+'Business Plan Detailed'!AO91*'Headcount Cost Assumptions'!$E$14+'Business Plan Detailed'!AO92*'Headcount Cost Assumptions'!$E$15+'Business Plan Detailed'!AO93*'Headcount Cost Assumptions'!$E$16+'Business Plan Detailed'!AO94*'Headcount Cost Assumptions'!$E$17+'Business Plan Detailed'!AO95*'Headcount Cost Assumptions'!$E$18+'Business Plan Detailed'!AO96*'Headcount Cost Assumptions'!$E$19+'Business Plan Detailed'!AO97*'Headcount Cost Assumptions'!$E$20+'Business Plan Detailed'!AO98*'Headcount Cost Assumptions'!$E$21+'Business Plan Detailed'!AO99*'Headcount Cost Assumptions'!$E$22+'Business Plan Detailed'!AO100*'Headcount Cost Assumptions'!$E$23+'Business Plan Detailed'!AO101*'Headcount Cost Assumptions'!$E$24+'Business Plan Detailed'!AO102*'Headcount Cost Assumptions'!$E$25+AO103*'Headcount Cost Assumptions'!$E$26+AO104*'Headcount Cost Assumptions'!$E$27+'Business Plan Detailed'!AO105*'Headcount Cost Assumptions'!$E$28+AO106*'Headcount Cost Assumptions'!$E$29+'Business Plan Detailed'!AO107*'Headcount Cost Assumptions'!$E$30</f>
        <v>32240</v>
      </c>
      <c r="AP83" s="355">
        <f>'Business Plan Detailed'!AP85*'Headcount Cost Assumptions'!$E$8+'Business Plan Detailed'!AP86*'Headcount Cost Assumptions'!$E$9+'Business Plan Detailed'!AP87*'Headcount Cost Assumptions'!$E$10+'Business Plan Detailed'!AP88*'Headcount Cost Assumptions'!$E$11+'Business Plan Detailed'!AP89*'Headcount Cost Assumptions'!$E$12+'Business Plan Detailed'!AP90*'Headcount Cost Assumptions'!$E$13+'Business Plan Detailed'!AP91*'Headcount Cost Assumptions'!$E$14+'Business Plan Detailed'!AP92*'Headcount Cost Assumptions'!$E$15+'Business Plan Detailed'!AP93*'Headcount Cost Assumptions'!$E$16+'Business Plan Detailed'!AP94*'Headcount Cost Assumptions'!$E$17+'Business Plan Detailed'!AP95*'Headcount Cost Assumptions'!$E$18+'Business Plan Detailed'!AP96*'Headcount Cost Assumptions'!$E$19+'Business Plan Detailed'!AP97*'Headcount Cost Assumptions'!$E$20+'Business Plan Detailed'!AP98*'Headcount Cost Assumptions'!$E$21+'Business Plan Detailed'!AP99*'Headcount Cost Assumptions'!$E$22+'Business Plan Detailed'!AP100*'Headcount Cost Assumptions'!$E$23+'Business Plan Detailed'!AP101*'Headcount Cost Assumptions'!$E$24+'Business Plan Detailed'!AP102*'Headcount Cost Assumptions'!$E$25+AP103*'Headcount Cost Assumptions'!$E$26+AP104*'Headcount Cost Assumptions'!$E$27+'Business Plan Detailed'!AP105*'Headcount Cost Assumptions'!$E$28+AP106*'Headcount Cost Assumptions'!$E$29+'Business Plan Detailed'!AP107*'Headcount Cost Assumptions'!$E$30</f>
        <v>32240</v>
      </c>
      <c r="AQ83" s="355">
        <f>'Business Plan Detailed'!AQ85*'Headcount Cost Assumptions'!$E$8+'Business Plan Detailed'!AQ86*'Headcount Cost Assumptions'!$E$9+'Business Plan Detailed'!AQ87*'Headcount Cost Assumptions'!$E$10+'Business Plan Detailed'!AQ88*'Headcount Cost Assumptions'!$E$11+'Business Plan Detailed'!AQ89*'Headcount Cost Assumptions'!$E$12+'Business Plan Detailed'!AQ90*'Headcount Cost Assumptions'!$E$13+'Business Plan Detailed'!AQ91*'Headcount Cost Assumptions'!$E$14+'Business Plan Detailed'!AQ92*'Headcount Cost Assumptions'!$E$15+'Business Plan Detailed'!AQ93*'Headcount Cost Assumptions'!$E$16+'Business Plan Detailed'!AQ94*'Headcount Cost Assumptions'!$E$17+'Business Plan Detailed'!AQ95*'Headcount Cost Assumptions'!$E$18+'Business Plan Detailed'!AQ96*'Headcount Cost Assumptions'!$E$19+'Business Plan Detailed'!AQ97*'Headcount Cost Assumptions'!$E$20+'Business Plan Detailed'!AQ98*'Headcount Cost Assumptions'!$E$21+'Business Plan Detailed'!AQ99*'Headcount Cost Assumptions'!$E$22+'Business Plan Detailed'!AQ100*'Headcount Cost Assumptions'!$E$23+'Business Plan Detailed'!AQ101*'Headcount Cost Assumptions'!$E$24+'Business Plan Detailed'!AQ102*'Headcount Cost Assumptions'!$E$25+AQ103*'Headcount Cost Assumptions'!$E$26+AQ104*'Headcount Cost Assumptions'!$E$27+'Business Plan Detailed'!AQ105*'Headcount Cost Assumptions'!$E$28+AQ106*'Headcount Cost Assumptions'!$E$29+'Business Plan Detailed'!AQ107*'Headcount Cost Assumptions'!$E$30</f>
        <v>32240</v>
      </c>
      <c r="AR83" s="355">
        <f>'Business Plan Detailed'!AR85*'Headcount Cost Assumptions'!$E$8+'Business Plan Detailed'!AR86*'Headcount Cost Assumptions'!$E$9+'Business Plan Detailed'!AR87*'Headcount Cost Assumptions'!$E$10+'Business Plan Detailed'!AR88*'Headcount Cost Assumptions'!$E$11+'Business Plan Detailed'!AR89*'Headcount Cost Assumptions'!$E$12+'Business Plan Detailed'!AR90*'Headcount Cost Assumptions'!$E$13+'Business Plan Detailed'!AR91*'Headcount Cost Assumptions'!$E$14+'Business Plan Detailed'!AR92*'Headcount Cost Assumptions'!$E$15+'Business Plan Detailed'!AR93*'Headcount Cost Assumptions'!$E$16+'Business Plan Detailed'!AR94*'Headcount Cost Assumptions'!$E$17+'Business Plan Detailed'!AR95*'Headcount Cost Assumptions'!$E$18+'Business Plan Detailed'!AR96*'Headcount Cost Assumptions'!$E$19+'Business Plan Detailed'!AR97*'Headcount Cost Assumptions'!$E$20+'Business Plan Detailed'!AR98*'Headcount Cost Assumptions'!$E$21+'Business Plan Detailed'!AR99*'Headcount Cost Assumptions'!$E$22+'Business Plan Detailed'!AR100*'Headcount Cost Assumptions'!$E$23+'Business Plan Detailed'!AR101*'Headcount Cost Assumptions'!$E$24+'Business Plan Detailed'!AR102*'Headcount Cost Assumptions'!$E$25+AR103*'Headcount Cost Assumptions'!$E$26+AR104*'Headcount Cost Assumptions'!$E$27+'Business Plan Detailed'!AR105*'Headcount Cost Assumptions'!$E$28+AR106*'Headcount Cost Assumptions'!$E$29+'Business Plan Detailed'!AR107*'Headcount Cost Assumptions'!$E$30</f>
        <v>32240</v>
      </c>
      <c r="AS83" s="355">
        <f>'Business Plan Detailed'!AS85*'Headcount Cost Assumptions'!$E$8+'Business Plan Detailed'!AS86*'Headcount Cost Assumptions'!$E$9+'Business Plan Detailed'!AS87*'Headcount Cost Assumptions'!$E$10+'Business Plan Detailed'!AS88*'Headcount Cost Assumptions'!$E$11+'Business Plan Detailed'!AS89*'Headcount Cost Assumptions'!$E$12+'Business Plan Detailed'!AS90*'Headcount Cost Assumptions'!$E$13+'Business Plan Detailed'!AS91*'Headcount Cost Assumptions'!$E$14+'Business Plan Detailed'!AS92*'Headcount Cost Assumptions'!$E$15+'Business Plan Detailed'!AS93*'Headcount Cost Assumptions'!$E$16+'Business Plan Detailed'!AS94*'Headcount Cost Assumptions'!$E$17+'Business Plan Detailed'!AS95*'Headcount Cost Assumptions'!$E$18+'Business Plan Detailed'!AS96*'Headcount Cost Assumptions'!$E$19+'Business Plan Detailed'!AS97*'Headcount Cost Assumptions'!$E$20+'Business Plan Detailed'!AS98*'Headcount Cost Assumptions'!$E$21+'Business Plan Detailed'!AS99*'Headcount Cost Assumptions'!$E$22+'Business Plan Detailed'!AS100*'Headcount Cost Assumptions'!$E$23+'Business Plan Detailed'!AS101*'Headcount Cost Assumptions'!$E$24+'Business Plan Detailed'!AS102*'Headcount Cost Assumptions'!$E$25+AS103*'Headcount Cost Assumptions'!$E$26+AS104*'Headcount Cost Assumptions'!$E$27+'Business Plan Detailed'!AS105*'Headcount Cost Assumptions'!$E$28+AS106*'Headcount Cost Assumptions'!$E$29+'Business Plan Detailed'!AS107*'Headcount Cost Assumptions'!$E$30</f>
        <v>32240</v>
      </c>
      <c r="AT83" s="355">
        <f>'Business Plan Detailed'!AT85*'Headcount Cost Assumptions'!$E$8+'Business Plan Detailed'!AT86*'Headcount Cost Assumptions'!$E$9+'Business Plan Detailed'!AT87*'Headcount Cost Assumptions'!$E$10+'Business Plan Detailed'!AT88*'Headcount Cost Assumptions'!$E$11+'Business Plan Detailed'!AT89*'Headcount Cost Assumptions'!$E$12+'Business Plan Detailed'!AT90*'Headcount Cost Assumptions'!$E$13+'Business Plan Detailed'!AT91*'Headcount Cost Assumptions'!$E$14+'Business Plan Detailed'!AT92*'Headcount Cost Assumptions'!$E$15+'Business Plan Detailed'!AT93*'Headcount Cost Assumptions'!$E$16+'Business Plan Detailed'!AT94*'Headcount Cost Assumptions'!$E$17+'Business Plan Detailed'!AT95*'Headcount Cost Assumptions'!$E$18+'Business Plan Detailed'!AT96*'Headcount Cost Assumptions'!$E$19+'Business Plan Detailed'!AT97*'Headcount Cost Assumptions'!$E$20+'Business Plan Detailed'!AT98*'Headcount Cost Assumptions'!$E$21+'Business Plan Detailed'!AT99*'Headcount Cost Assumptions'!$E$22+'Business Plan Detailed'!AT100*'Headcount Cost Assumptions'!$E$23+'Business Plan Detailed'!AT101*'Headcount Cost Assumptions'!$E$24+'Business Plan Detailed'!AT102*'Headcount Cost Assumptions'!$E$25+AT103*'Headcount Cost Assumptions'!$E$26+AT104*'Headcount Cost Assumptions'!$E$27+'Business Plan Detailed'!AT105*'Headcount Cost Assumptions'!$E$28+AT106*'Headcount Cost Assumptions'!$E$29+'Business Plan Detailed'!AT107*'Headcount Cost Assumptions'!$E$30</f>
        <v>32240</v>
      </c>
      <c r="AU83" s="355">
        <f>'Business Plan Detailed'!AU85*'Headcount Cost Assumptions'!$E$8+'Business Plan Detailed'!AU86*'Headcount Cost Assumptions'!$E$9+'Business Plan Detailed'!AU87*'Headcount Cost Assumptions'!$E$10+'Business Plan Detailed'!AU88*'Headcount Cost Assumptions'!$E$11+'Business Plan Detailed'!AU89*'Headcount Cost Assumptions'!$E$12+'Business Plan Detailed'!AU90*'Headcount Cost Assumptions'!$E$13+'Business Plan Detailed'!AU91*'Headcount Cost Assumptions'!$E$14+'Business Plan Detailed'!AU92*'Headcount Cost Assumptions'!$E$15+'Business Plan Detailed'!AU93*'Headcount Cost Assumptions'!$E$16+'Business Plan Detailed'!AU94*'Headcount Cost Assumptions'!$E$17+'Business Plan Detailed'!AU95*'Headcount Cost Assumptions'!$E$18+'Business Plan Detailed'!AU96*'Headcount Cost Assumptions'!$E$19+'Business Plan Detailed'!AU97*'Headcount Cost Assumptions'!$E$20+'Business Plan Detailed'!AU98*'Headcount Cost Assumptions'!$E$21+'Business Plan Detailed'!AU99*'Headcount Cost Assumptions'!$E$22+'Business Plan Detailed'!AU100*'Headcount Cost Assumptions'!$E$23+'Business Plan Detailed'!AU101*'Headcount Cost Assumptions'!$E$24+'Business Plan Detailed'!AU102*'Headcount Cost Assumptions'!$E$25+AU103*'Headcount Cost Assumptions'!$E$26+AU104*'Headcount Cost Assumptions'!$E$27+'Business Plan Detailed'!AU105*'Headcount Cost Assumptions'!$E$28+AU106*'Headcount Cost Assumptions'!$E$29+'Business Plan Detailed'!AU107*'Headcount Cost Assumptions'!$E$30</f>
        <v>32240</v>
      </c>
      <c r="AV83" s="355">
        <f>'Business Plan Detailed'!AV85*'Headcount Cost Assumptions'!$E$8+'Business Plan Detailed'!AV86*'Headcount Cost Assumptions'!$E$9+'Business Plan Detailed'!AV87*'Headcount Cost Assumptions'!$E$10+'Business Plan Detailed'!AV88*'Headcount Cost Assumptions'!$E$11+'Business Plan Detailed'!AV89*'Headcount Cost Assumptions'!$E$12+'Business Plan Detailed'!AV90*'Headcount Cost Assumptions'!$E$13+'Business Plan Detailed'!AV91*'Headcount Cost Assumptions'!$E$14+'Business Plan Detailed'!AV92*'Headcount Cost Assumptions'!$E$15+'Business Plan Detailed'!AV93*'Headcount Cost Assumptions'!$E$16+'Business Plan Detailed'!AV94*'Headcount Cost Assumptions'!$E$17+'Business Plan Detailed'!AV95*'Headcount Cost Assumptions'!$E$18+'Business Plan Detailed'!AV96*'Headcount Cost Assumptions'!$E$19+'Business Plan Detailed'!AV97*'Headcount Cost Assumptions'!$E$20+'Business Plan Detailed'!AV98*'Headcount Cost Assumptions'!$E$21+'Business Plan Detailed'!AV99*'Headcount Cost Assumptions'!$E$22+'Business Plan Detailed'!AV100*'Headcount Cost Assumptions'!$E$23+'Business Plan Detailed'!AV101*'Headcount Cost Assumptions'!$E$24+'Business Plan Detailed'!AV102*'Headcount Cost Assumptions'!$E$25+AV103*'Headcount Cost Assumptions'!$E$26+AV104*'Headcount Cost Assumptions'!$E$27+'Business Plan Detailed'!AV105*'Headcount Cost Assumptions'!$E$28+AV106*'Headcount Cost Assumptions'!$E$29+'Business Plan Detailed'!AV107*'Headcount Cost Assumptions'!$E$30</f>
        <v>35360</v>
      </c>
      <c r="AW83" s="355">
        <f>'Business Plan Detailed'!AW85*'Headcount Cost Assumptions'!$E$8+'Business Plan Detailed'!AW86*'Headcount Cost Assumptions'!$E$9+'Business Plan Detailed'!AW87*'Headcount Cost Assumptions'!$E$10+'Business Plan Detailed'!AW88*'Headcount Cost Assumptions'!$E$11+'Business Plan Detailed'!AW89*'Headcount Cost Assumptions'!$E$12+'Business Plan Detailed'!AW90*'Headcount Cost Assumptions'!$E$13+'Business Plan Detailed'!AW91*'Headcount Cost Assumptions'!$E$14+'Business Plan Detailed'!AW92*'Headcount Cost Assumptions'!$E$15+'Business Plan Detailed'!AW93*'Headcount Cost Assumptions'!$E$16+'Business Plan Detailed'!AW94*'Headcount Cost Assumptions'!$E$17+'Business Plan Detailed'!AW95*'Headcount Cost Assumptions'!$E$18+'Business Plan Detailed'!AW96*'Headcount Cost Assumptions'!$E$19+'Business Plan Detailed'!AW97*'Headcount Cost Assumptions'!$E$20+'Business Plan Detailed'!AW98*'Headcount Cost Assumptions'!$E$21+'Business Plan Detailed'!AW99*'Headcount Cost Assumptions'!$E$22+'Business Plan Detailed'!AW100*'Headcount Cost Assumptions'!$E$23+'Business Plan Detailed'!AW101*'Headcount Cost Assumptions'!$E$24+'Business Plan Detailed'!AW102*'Headcount Cost Assumptions'!$E$25+AW103*'Headcount Cost Assumptions'!$E$26+AW104*'Headcount Cost Assumptions'!$E$27+'Business Plan Detailed'!AW105*'Headcount Cost Assumptions'!$E$28+AW106*'Headcount Cost Assumptions'!$E$29+'Business Plan Detailed'!AW107*'Headcount Cost Assumptions'!$E$30</f>
        <v>35360</v>
      </c>
      <c r="AX83" s="355">
        <f>'Business Plan Detailed'!AX85*'Headcount Cost Assumptions'!$E$8+'Business Plan Detailed'!AX86*'Headcount Cost Assumptions'!$E$9+'Business Plan Detailed'!AX87*'Headcount Cost Assumptions'!$E$10+'Business Plan Detailed'!AX88*'Headcount Cost Assumptions'!$E$11+'Business Plan Detailed'!AX89*'Headcount Cost Assumptions'!$E$12+'Business Plan Detailed'!AX90*'Headcount Cost Assumptions'!$E$13+'Business Plan Detailed'!AX91*'Headcount Cost Assumptions'!$E$14+'Business Plan Detailed'!AX92*'Headcount Cost Assumptions'!$E$15+'Business Plan Detailed'!AX93*'Headcount Cost Assumptions'!$E$16+'Business Plan Detailed'!AX94*'Headcount Cost Assumptions'!$E$17+'Business Plan Detailed'!AX95*'Headcount Cost Assumptions'!$E$18+'Business Plan Detailed'!AX96*'Headcount Cost Assumptions'!$E$19+'Business Plan Detailed'!AX97*'Headcount Cost Assumptions'!$E$20+'Business Plan Detailed'!AX98*'Headcount Cost Assumptions'!$E$21+'Business Plan Detailed'!AX99*'Headcount Cost Assumptions'!$E$22+'Business Plan Detailed'!AX100*'Headcount Cost Assumptions'!$E$23+'Business Plan Detailed'!AX101*'Headcount Cost Assumptions'!$E$24+'Business Plan Detailed'!AX102*'Headcount Cost Assumptions'!$E$25+AX103*'Headcount Cost Assumptions'!$E$26+AX104*'Headcount Cost Assumptions'!$E$27+'Business Plan Detailed'!AX105*'Headcount Cost Assumptions'!$E$28+AX106*'Headcount Cost Assumptions'!$E$29+'Business Plan Detailed'!AX107*'Headcount Cost Assumptions'!$E$30</f>
        <v>37310</v>
      </c>
      <c r="AY83" s="355">
        <f>'Business Plan Detailed'!AY85*'Headcount Cost Assumptions'!$E$8+'Business Plan Detailed'!AY86*'Headcount Cost Assumptions'!$E$9+'Business Plan Detailed'!AY87*'Headcount Cost Assumptions'!$E$10+'Business Plan Detailed'!AY88*'Headcount Cost Assumptions'!$E$11+'Business Plan Detailed'!AY89*'Headcount Cost Assumptions'!$E$12+'Business Plan Detailed'!AY90*'Headcount Cost Assumptions'!$E$13+'Business Plan Detailed'!AY91*'Headcount Cost Assumptions'!$E$14+'Business Plan Detailed'!AY92*'Headcount Cost Assumptions'!$E$15+'Business Plan Detailed'!AY93*'Headcount Cost Assumptions'!$E$16+'Business Plan Detailed'!AY94*'Headcount Cost Assumptions'!$E$17+'Business Plan Detailed'!AY95*'Headcount Cost Assumptions'!$E$18+'Business Plan Detailed'!AY96*'Headcount Cost Assumptions'!$E$19+'Business Plan Detailed'!AY97*'Headcount Cost Assumptions'!$E$20+'Business Plan Detailed'!AY98*'Headcount Cost Assumptions'!$E$21+'Business Plan Detailed'!AY99*'Headcount Cost Assumptions'!$E$22+'Business Plan Detailed'!AY100*'Headcount Cost Assumptions'!$E$23+'Business Plan Detailed'!AY101*'Headcount Cost Assumptions'!$E$24+'Business Plan Detailed'!AY102*'Headcount Cost Assumptions'!$E$25+AY103*'Headcount Cost Assumptions'!$E$26+AY104*'Headcount Cost Assumptions'!$E$27+'Business Plan Detailed'!AY105*'Headcount Cost Assumptions'!$E$28+AY106*'Headcount Cost Assumptions'!$E$29+'Business Plan Detailed'!AY107*'Headcount Cost Assumptions'!$E$30</f>
        <v>37310</v>
      </c>
      <c r="AZ83" s="355">
        <f>'Business Plan Detailed'!AZ85*'Headcount Cost Assumptions'!$E$8+'Business Plan Detailed'!AZ86*'Headcount Cost Assumptions'!$E$9+'Business Plan Detailed'!AZ87*'Headcount Cost Assumptions'!$E$10+'Business Plan Detailed'!AZ88*'Headcount Cost Assumptions'!$E$11+'Business Plan Detailed'!AZ89*'Headcount Cost Assumptions'!$E$12+'Business Plan Detailed'!AZ90*'Headcount Cost Assumptions'!$E$13+'Business Plan Detailed'!AZ91*'Headcount Cost Assumptions'!$E$14+'Business Plan Detailed'!AZ92*'Headcount Cost Assumptions'!$E$15+'Business Plan Detailed'!AZ93*'Headcount Cost Assumptions'!$E$16+'Business Plan Detailed'!AZ94*'Headcount Cost Assumptions'!$E$17+'Business Plan Detailed'!AZ95*'Headcount Cost Assumptions'!$E$18+'Business Plan Detailed'!AZ96*'Headcount Cost Assumptions'!$E$19+'Business Plan Detailed'!AZ97*'Headcount Cost Assumptions'!$E$20+'Business Plan Detailed'!AZ98*'Headcount Cost Assumptions'!$E$21+'Business Plan Detailed'!AZ99*'Headcount Cost Assumptions'!$E$22+'Business Plan Detailed'!AZ100*'Headcount Cost Assumptions'!$E$23+'Business Plan Detailed'!AZ101*'Headcount Cost Assumptions'!$E$24+'Business Plan Detailed'!AZ102*'Headcount Cost Assumptions'!$E$25+AZ103*'Headcount Cost Assumptions'!$E$26+AZ104*'Headcount Cost Assumptions'!$E$27+'Business Plan Detailed'!AZ105*'Headcount Cost Assumptions'!$E$28+AZ106*'Headcount Cost Assumptions'!$E$29+'Business Plan Detailed'!AZ107*'Headcount Cost Assumptions'!$E$30</f>
        <v>37310</v>
      </c>
      <c r="BA83" s="355">
        <f>'Business Plan Detailed'!BA85*'Headcount Cost Assumptions'!$E$8+'Business Plan Detailed'!BA86*'Headcount Cost Assumptions'!$E$9+'Business Plan Detailed'!BA87*'Headcount Cost Assumptions'!$E$10+'Business Plan Detailed'!BA88*'Headcount Cost Assumptions'!$E$11+'Business Plan Detailed'!BA89*'Headcount Cost Assumptions'!$E$12+'Business Plan Detailed'!BA90*'Headcount Cost Assumptions'!$E$13+'Business Plan Detailed'!BA91*'Headcount Cost Assumptions'!$E$14+'Business Plan Detailed'!BA92*'Headcount Cost Assumptions'!$E$15+'Business Plan Detailed'!BA93*'Headcount Cost Assumptions'!$E$16+'Business Plan Detailed'!BA94*'Headcount Cost Assumptions'!$E$17+'Business Plan Detailed'!BA95*'Headcount Cost Assumptions'!$E$18+'Business Plan Detailed'!BA96*'Headcount Cost Assumptions'!$E$19+'Business Plan Detailed'!BA97*'Headcount Cost Assumptions'!$E$20+'Business Plan Detailed'!BA98*'Headcount Cost Assumptions'!$E$21+'Business Plan Detailed'!BA99*'Headcount Cost Assumptions'!$E$22+'Business Plan Detailed'!BA100*'Headcount Cost Assumptions'!$E$23+'Business Plan Detailed'!BA101*'Headcount Cost Assumptions'!$E$24+'Business Plan Detailed'!BA102*'Headcount Cost Assumptions'!$E$25+BA103*'Headcount Cost Assumptions'!$E$26+BA104*'Headcount Cost Assumptions'!$E$27+'Business Plan Detailed'!BA105*'Headcount Cost Assumptions'!$E$28+BA106*'Headcount Cost Assumptions'!$E$29+'Business Plan Detailed'!BA107*'Headcount Cost Assumptions'!$E$30</f>
        <v>37310</v>
      </c>
      <c r="BB83" s="355">
        <f>'Business Plan Detailed'!BB85*'Headcount Cost Assumptions'!$E$8+'Business Plan Detailed'!BB86*'Headcount Cost Assumptions'!$E$9+'Business Plan Detailed'!BB87*'Headcount Cost Assumptions'!$E$10+'Business Plan Detailed'!BB88*'Headcount Cost Assumptions'!$E$11+'Business Plan Detailed'!BB89*'Headcount Cost Assumptions'!$E$12+'Business Plan Detailed'!BB90*'Headcount Cost Assumptions'!$E$13+'Business Plan Detailed'!BB91*'Headcount Cost Assumptions'!$E$14+'Business Plan Detailed'!BB92*'Headcount Cost Assumptions'!$E$15+'Business Plan Detailed'!BB93*'Headcount Cost Assumptions'!$E$16+'Business Plan Detailed'!BB94*'Headcount Cost Assumptions'!$E$17+'Business Plan Detailed'!BB95*'Headcount Cost Assumptions'!$E$18+'Business Plan Detailed'!BB96*'Headcount Cost Assumptions'!$E$19+'Business Plan Detailed'!BB97*'Headcount Cost Assumptions'!$E$20+'Business Plan Detailed'!BB98*'Headcount Cost Assumptions'!$E$21+'Business Plan Detailed'!BB99*'Headcount Cost Assumptions'!$E$22+'Business Plan Detailed'!BB100*'Headcount Cost Assumptions'!$E$23+'Business Plan Detailed'!BB101*'Headcount Cost Assumptions'!$E$24+'Business Plan Detailed'!BB102*'Headcount Cost Assumptions'!$E$25+BB103*'Headcount Cost Assumptions'!$E$26+BB104*'Headcount Cost Assumptions'!$E$27+'Business Plan Detailed'!BB105*'Headcount Cost Assumptions'!$E$28+BB106*'Headcount Cost Assumptions'!$E$29+'Business Plan Detailed'!BB107*'Headcount Cost Assumptions'!$E$30</f>
        <v>37310</v>
      </c>
      <c r="BC83" s="355">
        <f>'Business Plan Detailed'!BC85*'Headcount Cost Assumptions'!$E$8+'Business Plan Detailed'!BC86*'Headcount Cost Assumptions'!$E$9+'Business Plan Detailed'!BC87*'Headcount Cost Assumptions'!$E$10+'Business Plan Detailed'!BC88*'Headcount Cost Assumptions'!$E$11+'Business Plan Detailed'!BC89*'Headcount Cost Assumptions'!$E$12+'Business Plan Detailed'!BC90*'Headcount Cost Assumptions'!$E$13+'Business Plan Detailed'!BC91*'Headcount Cost Assumptions'!$E$14+'Business Plan Detailed'!BC92*'Headcount Cost Assumptions'!$E$15+'Business Plan Detailed'!BC93*'Headcount Cost Assumptions'!$E$16+'Business Plan Detailed'!BC94*'Headcount Cost Assumptions'!$E$17+'Business Plan Detailed'!BC95*'Headcount Cost Assumptions'!$E$18+'Business Plan Detailed'!BC96*'Headcount Cost Assumptions'!$E$19+'Business Plan Detailed'!BC97*'Headcount Cost Assumptions'!$E$20+'Business Plan Detailed'!BC98*'Headcount Cost Assumptions'!$E$21+'Business Plan Detailed'!BC99*'Headcount Cost Assumptions'!$E$22+'Business Plan Detailed'!BC100*'Headcount Cost Assumptions'!$E$23+'Business Plan Detailed'!BC101*'Headcount Cost Assumptions'!$E$24+'Business Plan Detailed'!BC102*'Headcount Cost Assumptions'!$E$25+BC103*'Headcount Cost Assumptions'!$E$26+BC104*'Headcount Cost Assumptions'!$E$27+'Business Plan Detailed'!BC105*'Headcount Cost Assumptions'!$E$28+BC106*'Headcount Cost Assumptions'!$E$29+'Business Plan Detailed'!BC107*'Headcount Cost Assumptions'!$E$30</f>
        <v>72800</v>
      </c>
      <c r="BD83" s="355">
        <f>'Business Plan Detailed'!BD85*'Headcount Cost Assumptions'!$E$8+'Business Plan Detailed'!BD86*'Headcount Cost Assumptions'!$E$9+'Business Plan Detailed'!BD87*'Headcount Cost Assumptions'!$E$10+'Business Plan Detailed'!BD88*'Headcount Cost Assumptions'!$E$11+'Business Plan Detailed'!BD89*'Headcount Cost Assumptions'!$E$12+'Business Plan Detailed'!BD90*'Headcount Cost Assumptions'!$E$13+'Business Plan Detailed'!BD91*'Headcount Cost Assumptions'!$E$14+'Business Plan Detailed'!BD92*'Headcount Cost Assumptions'!$E$15+'Business Plan Detailed'!BD93*'Headcount Cost Assumptions'!$E$16+'Business Plan Detailed'!BD94*'Headcount Cost Assumptions'!$E$17+'Business Plan Detailed'!BD95*'Headcount Cost Assumptions'!$E$18+'Business Plan Detailed'!BD96*'Headcount Cost Assumptions'!$E$19+'Business Plan Detailed'!BD97*'Headcount Cost Assumptions'!$E$20+'Business Plan Detailed'!BD98*'Headcount Cost Assumptions'!$E$21+'Business Plan Detailed'!BD99*'Headcount Cost Assumptions'!$E$22+'Business Plan Detailed'!BD100*'Headcount Cost Assumptions'!$E$23+'Business Plan Detailed'!BD101*'Headcount Cost Assumptions'!$E$24+'Business Plan Detailed'!BD102*'Headcount Cost Assumptions'!$E$25+BD103*'Headcount Cost Assumptions'!$E$26+BD104*'Headcount Cost Assumptions'!$E$27+'Business Plan Detailed'!BD105*'Headcount Cost Assumptions'!$E$28+BD106*'Headcount Cost Assumptions'!$E$29+'Business Plan Detailed'!BD107*'Headcount Cost Assumptions'!$E$30</f>
        <v>72800</v>
      </c>
      <c r="BE83" s="355">
        <f>'Business Plan Detailed'!BE85*'Headcount Cost Assumptions'!$E$8+'Business Plan Detailed'!BE86*'Headcount Cost Assumptions'!$E$9+'Business Plan Detailed'!BE87*'Headcount Cost Assumptions'!$E$10+'Business Plan Detailed'!BE88*'Headcount Cost Assumptions'!$E$11+'Business Plan Detailed'!BE89*'Headcount Cost Assumptions'!$E$12+'Business Plan Detailed'!BE90*'Headcount Cost Assumptions'!$E$13+'Business Plan Detailed'!BE91*'Headcount Cost Assumptions'!$E$14+'Business Plan Detailed'!BE92*'Headcount Cost Assumptions'!$E$15+'Business Plan Detailed'!BE93*'Headcount Cost Assumptions'!$E$16+'Business Plan Detailed'!BE94*'Headcount Cost Assumptions'!$E$17+'Business Plan Detailed'!BE95*'Headcount Cost Assumptions'!$E$18+'Business Plan Detailed'!BE96*'Headcount Cost Assumptions'!$E$19+'Business Plan Detailed'!BE97*'Headcount Cost Assumptions'!$E$20+'Business Plan Detailed'!BE98*'Headcount Cost Assumptions'!$E$21+'Business Plan Detailed'!BE99*'Headcount Cost Assumptions'!$E$22+'Business Plan Detailed'!BE100*'Headcount Cost Assumptions'!$E$23+'Business Plan Detailed'!BE101*'Headcount Cost Assumptions'!$E$24+'Business Plan Detailed'!BE102*'Headcount Cost Assumptions'!$E$25+BE103*'Headcount Cost Assumptions'!$E$26+BE104*'Headcount Cost Assumptions'!$E$27+'Business Plan Detailed'!BE105*'Headcount Cost Assumptions'!$E$28+BE106*'Headcount Cost Assumptions'!$E$29+'Business Plan Detailed'!BE107*'Headcount Cost Assumptions'!$E$30</f>
        <v>72800</v>
      </c>
      <c r="BF83" s="355">
        <f>'Business Plan Detailed'!BF85*'Headcount Cost Assumptions'!$E$8+'Business Plan Detailed'!BF86*'Headcount Cost Assumptions'!$E$9+'Business Plan Detailed'!BF87*'Headcount Cost Assumptions'!$E$10+'Business Plan Detailed'!BF88*'Headcount Cost Assumptions'!$E$11+'Business Plan Detailed'!BF89*'Headcount Cost Assumptions'!$E$12+'Business Plan Detailed'!BF90*'Headcount Cost Assumptions'!$E$13+'Business Plan Detailed'!BF91*'Headcount Cost Assumptions'!$E$14+'Business Plan Detailed'!BF92*'Headcount Cost Assumptions'!$E$15+'Business Plan Detailed'!BF93*'Headcount Cost Assumptions'!$E$16+'Business Plan Detailed'!BF94*'Headcount Cost Assumptions'!$E$17+'Business Plan Detailed'!BF95*'Headcount Cost Assumptions'!$E$18+'Business Plan Detailed'!BF96*'Headcount Cost Assumptions'!$E$19+'Business Plan Detailed'!BF97*'Headcount Cost Assumptions'!$E$20+'Business Plan Detailed'!BF98*'Headcount Cost Assumptions'!$E$21+'Business Plan Detailed'!BF99*'Headcount Cost Assumptions'!$E$22+'Business Plan Detailed'!BF100*'Headcount Cost Assumptions'!$E$23+'Business Plan Detailed'!BF101*'Headcount Cost Assumptions'!$E$24+'Business Plan Detailed'!BF102*'Headcount Cost Assumptions'!$E$25+BF103*'Headcount Cost Assumptions'!$E$26+BF104*'Headcount Cost Assumptions'!$E$27+'Business Plan Detailed'!BF105*'Headcount Cost Assumptions'!$E$28+BF106*'Headcount Cost Assumptions'!$E$29+'Business Plan Detailed'!BF107*'Headcount Cost Assumptions'!$E$30</f>
        <v>72800</v>
      </c>
      <c r="BG83" s="355">
        <f>'Business Plan Detailed'!BG85*'Headcount Cost Assumptions'!$E$8+'Business Plan Detailed'!BG86*'Headcount Cost Assumptions'!$E$9+'Business Plan Detailed'!BG87*'Headcount Cost Assumptions'!$E$10+'Business Plan Detailed'!BG88*'Headcount Cost Assumptions'!$E$11+'Business Plan Detailed'!BG89*'Headcount Cost Assumptions'!$E$12+'Business Plan Detailed'!BG90*'Headcount Cost Assumptions'!$E$13+'Business Plan Detailed'!BG91*'Headcount Cost Assumptions'!$E$14+'Business Plan Detailed'!BG92*'Headcount Cost Assumptions'!$E$15+'Business Plan Detailed'!BG93*'Headcount Cost Assumptions'!$E$16+'Business Plan Detailed'!BG94*'Headcount Cost Assumptions'!$E$17+'Business Plan Detailed'!BG95*'Headcount Cost Assumptions'!$E$18+'Business Plan Detailed'!BG96*'Headcount Cost Assumptions'!$E$19+'Business Plan Detailed'!BG97*'Headcount Cost Assumptions'!$E$20+'Business Plan Detailed'!BG98*'Headcount Cost Assumptions'!$E$21+'Business Plan Detailed'!BG99*'Headcount Cost Assumptions'!$E$22+'Business Plan Detailed'!BG100*'Headcount Cost Assumptions'!$E$23+'Business Plan Detailed'!BG101*'Headcount Cost Assumptions'!$E$24+'Business Plan Detailed'!BG102*'Headcount Cost Assumptions'!$E$25+BG103*'Headcount Cost Assumptions'!$E$26+BG104*'Headcount Cost Assumptions'!$E$27+'Business Plan Detailed'!BG105*'Headcount Cost Assumptions'!$E$28+BG106*'Headcount Cost Assumptions'!$E$29+'Business Plan Detailed'!BG107*'Headcount Cost Assumptions'!$E$30</f>
        <v>72800</v>
      </c>
      <c r="BH83" s="355">
        <f>'Business Plan Detailed'!BH85*'Headcount Cost Assumptions'!$E$8+'Business Plan Detailed'!BH86*'Headcount Cost Assumptions'!$E$9+'Business Plan Detailed'!BH87*'Headcount Cost Assumptions'!$E$10+'Business Plan Detailed'!BH88*'Headcount Cost Assumptions'!$E$11+'Business Plan Detailed'!BH89*'Headcount Cost Assumptions'!$E$12+'Business Plan Detailed'!BH90*'Headcount Cost Assumptions'!$E$13+'Business Plan Detailed'!BH91*'Headcount Cost Assumptions'!$E$14+'Business Plan Detailed'!BH92*'Headcount Cost Assumptions'!$E$15+'Business Plan Detailed'!BH93*'Headcount Cost Assumptions'!$E$16+'Business Plan Detailed'!BH94*'Headcount Cost Assumptions'!$E$17+'Business Plan Detailed'!BH95*'Headcount Cost Assumptions'!$E$18+'Business Plan Detailed'!BH96*'Headcount Cost Assumptions'!$E$19+'Business Plan Detailed'!BH97*'Headcount Cost Assumptions'!$E$20+'Business Plan Detailed'!BH98*'Headcount Cost Assumptions'!$E$21+'Business Plan Detailed'!BH99*'Headcount Cost Assumptions'!$E$22+'Business Plan Detailed'!BH100*'Headcount Cost Assumptions'!$E$23+'Business Plan Detailed'!BH101*'Headcount Cost Assumptions'!$E$24+'Business Plan Detailed'!BH102*'Headcount Cost Assumptions'!$E$25+BH103*'Headcount Cost Assumptions'!$E$26+BH104*'Headcount Cost Assumptions'!$E$27+'Business Plan Detailed'!BH105*'Headcount Cost Assumptions'!$E$28+BH106*'Headcount Cost Assumptions'!$E$29+'Business Plan Detailed'!BH107*'Headcount Cost Assumptions'!$E$30</f>
        <v>72800</v>
      </c>
      <c r="BI83" s="355">
        <f>'Business Plan Detailed'!BI85*'Headcount Cost Assumptions'!$E$8+'Business Plan Detailed'!BI86*'Headcount Cost Assumptions'!$E$9+'Business Plan Detailed'!BI87*'Headcount Cost Assumptions'!$E$10+'Business Plan Detailed'!BI88*'Headcount Cost Assumptions'!$E$11+'Business Plan Detailed'!BI89*'Headcount Cost Assumptions'!$E$12+'Business Plan Detailed'!BI90*'Headcount Cost Assumptions'!$E$13+'Business Plan Detailed'!BI91*'Headcount Cost Assumptions'!$E$14+'Business Plan Detailed'!BI92*'Headcount Cost Assumptions'!$E$15+'Business Plan Detailed'!BI93*'Headcount Cost Assumptions'!$E$16+'Business Plan Detailed'!BI94*'Headcount Cost Assumptions'!$E$17+'Business Plan Detailed'!BI95*'Headcount Cost Assumptions'!$E$18+'Business Plan Detailed'!BI96*'Headcount Cost Assumptions'!$E$19+'Business Plan Detailed'!BI97*'Headcount Cost Assumptions'!$E$20+'Business Plan Detailed'!BI98*'Headcount Cost Assumptions'!$E$21+'Business Plan Detailed'!BI99*'Headcount Cost Assumptions'!$E$22+'Business Plan Detailed'!BI100*'Headcount Cost Assumptions'!$E$23+'Business Plan Detailed'!BI101*'Headcount Cost Assumptions'!$E$24+'Business Plan Detailed'!BI102*'Headcount Cost Assumptions'!$E$25+BI103*'Headcount Cost Assumptions'!$E$26+BI104*'Headcount Cost Assumptions'!$E$27+'Business Plan Detailed'!BI105*'Headcount Cost Assumptions'!$E$28+BI106*'Headcount Cost Assumptions'!$E$29+'Business Plan Detailed'!BI107*'Headcount Cost Assumptions'!$E$30</f>
        <v>72800</v>
      </c>
      <c r="BJ83" s="355">
        <f>'Business Plan Detailed'!BJ85*'Headcount Cost Assumptions'!$E$8+'Business Plan Detailed'!BJ86*'Headcount Cost Assumptions'!$E$9+'Business Plan Detailed'!BJ87*'Headcount Cost Assumptions'!$E$10+'Business Plan Detailed'!BJ88*'Headcount Cost Assumptions'!$E$11+'Business Plan Detailed'!BJ89*'Headcount Cost Assumptions'!$E$12+'Business Plan Detailed'!BJ90*'Headcount Cost Assumptions'!$E$13+'Business Plan Detailed'!BJ91*'Headcount Cost Assumptions'!$E$14+'Business Plan Detailed'!BJ92*'Headcount Cost Assumptions'!$E$15+'Business Plan Detailed'!BJ93*'Headcount Cost Assumptions'!$E$16+'Business Plan Detailed'!BJ94*'Headcount Cost Assumptions'!$E$17+'Business Plan Detailed'!BJ95*'Headcount Cost Assumptions'!$E$18+'Business Plan Detailed'!BJ96*'Headcount Cost Assumptions'!$E$19+'Business Plan Detailed'!BJ97*'Headcount Cost Assumptions'!$E$20+'Business Plan Detailed'!BJ98*'Headcount Cost Assumptions'!$E$21+'Business Plan Detailed'!BJ99*'Headcount Cost Assumptions'!$E$22+'Business Plan Detailed'!BJ100*'Headcount Cost Assumptions'!$E$23+'Business Plan Detailed'!BJ101*'Headcount Cost Assumptions'!$E$24+'Business Plan Detailed'!BJ102*'Headcount Cost Assumptions'!$E$25+BJ103*'Headcount Cost Assumptions'!$E$26+BJ104*'Headcount Cost Assumptions'!$E$27+'Business Plan Detailed'!BJ105*'Headcount Cost Assumptions'!$E$28+BJ106*'Headcount Cost Assumptions'!$E$29+'Business Plan Detailed'!BJ107*'Headcount Cost Assumptions'!$E$30</f>
        <v>72800</v>
      </c>
      <c r="BK83" s="355">
        <f>'Business Plan Detailed'!BK85*'Headcount Cost Assumptions'!$E$8+'Business Plan Detailed'!BK86*'Headcount Cost Assumptions'!$E$9+'Business Plan Detailed'!BK87*'Headcount Cost Assumptions'!$E$10+'Business Plan Detailed'!BK88*'Headcount Cost Assumptions'!$E$11+'Business Plan Detailed'!BK89*'Headcount Cost Assumptions'!$E$12+'Business Plan Detailed'!BK90*'Headcount Cost Assumptions'!$E$13+'Business Plan Detailed'!BK91*'Headcount Cost Assumptions'!$E$14+'Business Plan Detailed'!BK92*'Headcount Cost Assumptions'!$E$15+'Business Plan Detailed'!BK93*'Headcount Cost Assumptions'!$E$16+'Business Plan Detailed'!BK94*'Headcount Cost Assumptions'!$E$17+'Business Plan Detailed'!BK95*'Headcount Cost Assumptions'!$E$18+'Business Plan Detailed'!BK96*'Headcount Cost Assumptions'!$E$19+'Business Plan Detailed'!BK97*'Headcount Cost Assumptions'!$E$20+'Business Plan Detailed'!BK98*'Headcount Cost Assumptions'!$E$21+'Business Plan Detailed'!BK99*'Headcount Cost Assumptions'!$E$22+'Business Plan Detailed'!BK100*'Headcount Cost Assumptions'!$E$23+'Business Plan Detailed'!BK101*'Headcount Cost Assumptions'!$E$24+'Business Plan Detailed'!BK102*'Headcount Cost Assumptions'!$E$25+BK103*'Headcount Cost Assumptions'!$E$26+BK104*'Headcount Cost Assumptions'!$E$27+'Business Plan Detailed'!BK105*'Headcount Cost Assumptions'!$E$28+BK106*'Headcount Cost Assumptions'!$E$29+'Business Plan Detailed'!BK107*'Headcount Cost Assumptions'!$E$30</f>
        <v>72800</v>
      </c>
      <c r="BL83" s="355">
        <f>'Business Plan Detailed'!BL85*'Headcount Cost Assumptions'!$E$8+'Business Plan Detailed'!BL86*'Headcount Cost Assumptions'!$E$9+'Business Plan Detailed'!BL87*'Headcount Cost Assumptions'!$E$10+'Business Plan Detailed'!BL88*'Headcount Cost Assumptions'!$E$11+'Business Plan Detailed'!BL89*'Headcount Cost Assumptions'!$E$12+'Business Plan Detailed'!BL90*'Headcount Cost Assumptions'!$E$13+'Business Plan Detailed'!BL91*'Headcount Cost Assumptions'!$E$14+'Business Plan Detailed'!BL92*'Headcount Cost Assumptions'!$E$15+'Business Plan Detailed'!BL93*'Headcount Cost Assumptions'!$E$16+'Business Plan Detailed'!BL94*'Headcount Cost Assumptions'!$E$17+'Business Plan Detailed'!BL95*'Headcount Cost Assumptions'!$E$18+'Business Plan Detailed'!BL96*'Headcount Cost Assumptions'!$E$19+'Business Plan Detailed'!BL97*'Headcount Cost Assumptions'!$E$20+'Business Plan Detailed'!BL98*'Headcount Cost Assumptions'!$E$21+'Business Plan Detailed'!BL99*'Headcount Cost Assumptions'!$E$22+'Business Plan Detailed'!BL100*'Headcount Cost Assumptions'!$E$23+'Business Plan Detailed'!BL101*'Headcount Cost Assumptions'!$E$24+'Business Plan Detailed'!BL102*'Headcount Cost Assumptions'!$E$25+BL103*'Headcount Cost Assumptions'!$E$26+BL104*'Headcount Cost Assumptions'!$E$27+'Business Plan Detailed'!BL105*'Headcount Cost Assumptions'!$E$28+BL106*'Headcount Cost Assumptions'!$E$29+'Business Plan Detailed'!BL107*'Headcount Cost Assumptions'!$E$30</f>
        <v>85670</v>
      </c>
      <c r="BM83" s="355">
        <f>'Business Plan Detailed'!BM85*'Headcount Cost Assumptions'!$E$8+'Business Plan Detailed'!BM86*'Headcount Cost Assumptions'!$E$9+'Business Plan Detailed'!BM87*'Headcount Cost Assumptions'!$E$10+'Business Plan Detailed'!BM88*'Headcount Cost Assumptions'!$E$11+'Business Plan Detailed'!BM89*'Headcount Cost Assumptions'!$E$12+'Business Plan Detailed'!BM90*'Headcount Cost Assumptions'!$E$13+'Business Plan Detailed'!BM91*'Headcount Cost Assumptions'!$E$14+'Business Plan Detailed'!BM92*'Headcount Cost Assumptions'!$E$15+'Business Plan Detailed'!BM93*'Headcount Cost Assumptions'!$E$16+'Business Plan Detailed'!BM94*'Headcount Cost Assumptions'!$E$17+'Business Plan Detailed'!BM95*'Headcount Cost Assumptions'!$E$18+'Business Plan Detailed'!BM96*'Headcount Cost Assumptions'!$E$19+'Business Plan Detailed'!BM97*'Headcount Cost Assumptions'!$E$20+'Business Plan Detailed'!BM98*'Headcount Cost Assumptions'!$E$21+'Business Plan Detailed'!BM99*'Headcount Cost Assumptions'!$E$22+'Business Plan Detailed'!BM100*'Headcount Cost Assumptions'!$E$23+'Business Plan Detailed'!BM101*'Headcount Cost Assumptions'!$E$24+'Business Plan Detailed'!BM102*'Headcount Cost Assumptions'!$E$25+BM103*'Headcount Cost Assumptions'!$E$26+BM104*'Headcount Cost Assumptions'!$E$27+'Business Plan Detailed'!BM105*'Headcount Cost Assumptions'!$E$28+BM106*'Headcount Cost Assumptions'!$E$29+'Business Plan Detailed'!BM107*'Headcount Cost Assumptions'!$E$30</f>
        <v>92690</v>
      </c>
      <c r="BN83" s="355">
        <f>'Business Plan Detailed'!BN85*'Headcount Cost Assumptions'!$E$8+'Business Plan Detailed'!BN86*'Headcount Cost Assumptions'!$E$9+'Business Plan Detailed'!BN87*'Headcount Cost Assumptions'!$E$10+'Business Plan Detailed'!BN88*'Headcount Cost Assumptions'!$E$11+'Business Plan Detailed'!BN89*'Headcount Cost Assumptions'!$E$12+'Business Plan Detailed'!BN90*'Headcount Cost Assumptions'!$E$13+'Business Plan Detailed'!BN91*'Headcount Cost Assumptions'!$E$14+'Business Plan Detailed'!BN92*'Headcount Cost Assumptions'!$E$15+'Business Plan Detailed'!BN93*'Headcount Cost Assumptions'!$E$16+'Business Plan Detailed'!BN94*'Headcount Cost Assumptions'!$E$17+'Business Plan Detailed'!BN95*'Headcount Cost Assumptions'!$E$18+'Business Plan Detailed'!BN96*'Headcount Cost Assumptions'!$E$19+'Business Plan Detailed'!BN97*'Headcount Cost Assumptions'!$E$20+'Business Plan Detailed'!BN98*'Headcount Cost Assumptions'!$E$21+'Business Plan Detailed'!BN99*'Headcount Cost Assumptions'!$E$22+'Business Plan Detailed'!BN100*'Headcount Cost Assumptions'!$E$23+'Business Plan Detailed'!BN101*'Headcount Cost Assumptions'!$E$24+'Business Plan Detailed'!BN102*'Headcount Cost Assumptions'!$E$25+BN103*'Headcount Cost Assumptions'!$E$26+BN104*'Headcount Cost Assumptions'!$E$27+'Business Plan Detailed'!BN105*'Headcount Cost Assumptions'!$E$28+BN106*'Headcount Cost Assumptions'!$E$29+'Business Plan Detailed'!BN107*'Headcount Cost Assumptions'!$E$30</f>
        <v>92690</v>
      </c>
      <c r="BO83" s="355">
        <f>'Business Plan Detailed'!BO85*'Headcount Cost Assumptions'!$E$8+'Business Plan Detailed'!BO86*'Headcount Cost Assumptions'!$E$9+'Business Plan Detailed'!BO87*'Headcount Cost Assumptions'!$E$10+'Business Plan Detailed'!BO88*'Headcount Cost Assumptions'!$E$11+'Business Plan Detailed'!BO89*'Headcount Cost Assumptions'!$E$12+'Business Plan Detailed'!BO90*'Headcount Cost Assumptions'!$E$13+'Business Plan Detailed'!BO91*'Headcount Cost Assumptions'!$E$14+'Business Plan Detailed'!BO92*'Headcount Cost Assumptions'!$E$15+'Business Plan Detailed'!BO93*'Headcount Cost Assumptions'!$E$16+'Business Plan Detailed'!BO94*'Headcount Cost Assumptions'!$E$17+'Business Plan Detailed'!BO95*'Headcount Cost Assumptions'!$E$18+'Business Plan Detailed'!BO96*'Headcount Cost Assumptions'!$E$19+'Business Plan Detailed'!BO97*'Headcount Cost Assumptions'!$E$20+'Business Plan Detailed'!BO98*'Headcount Cost Assumptions'!$E$21+'Business Plan Detailed'!BO99*'Headcount Cost Assumptions'!$E$22+'Business Plan Detailed'!BO100*'Headcount Cost Assumptions'!$E$23+'Business Plan Detailed'!BO101*'Headcount Cost Assumptions'!$E$24+'Business Plan Detailed'!BO102*'Headcount Cost Assumptions'!$E$25+BO103*'Headcount Cost Assumptions'!$E$26+BO104*'Headcount Cost Assumptions'!$E$27+'Business Plan Detailed'!BO105*'Headcount Cost Assumptions'!$E$28+BO106*'Headcount Cost Assumptions'!$E$29+'Business Plan Detailed'!BO107*'Headcount Cost Assumptions'!$E$30</f>
        <v>92690</v>
      </c>
      <c r="BP83" s="355">
        <f>'Business Plan Detailed'!BP85*'Headcount Cost Assumptions'!$E$8+'Business Plan Detailed'!BP86*'Headcount Cost Assumptions'!$E$9+'Business Plan Detailed'!BP87*'Headcount Cost Assumptions'!$E$10+'Business Plan Detailed'!BP88*'Headcount Cost Assumptions'!$E$11+'Business Plan Detailed'!BP89*'Headcount Cost Assumptions'!$E$12+'Business Plan Detailed'!BP90*'Headcount Cost Assumptions'!$E$13+'Business Plan Detailed'!BP91*'Headcount Cost Assumptions'!$E$14+'Business Plan Detailed'!BP92*'Headcount Cost Assumptions'!$E$15+'Business Plan Detailed'!BP93*'Headcount Cost Assumptions'!$E$16+'Business Plan Detailed'!BP94*'Headcount Cost Assumptions'!$E$17+'Business Plan Detailed'!BP95*'Headcount Cost Assumptions'!$E$18+'Business Plan Detailed'!BP96*'Headcount Cost Assumptions'!$E$19+'Business Plan Detailed'!BP97*'Headcount Cost Assumptions'!$E$20+'Business Plan Detailed'!BP98*'Headcount Cost Assumptions'!$E$21+'Business Plan Detailed'!BP99*'Headcount Cost Assumptions'!$E$22+'Business Plan Detailed'!BP100*'Headcount Cost Assumptions'!$E$23+'Business Plan Detailed'!BP101*'Headcount Cost Assumptions'!$E$24+'Business Plan Detailed'!BP102*'Headcount Cost Assumptions'!$E$25+BP103*'Headcount Cost Assumptions'!$E$26+BP104*'Headcount Cost Assumptions'!$E$27+'Business Plan Detailed'!BP105*'Headcount Cost Assumptions'!$E$28+BP106*'Headcount Cost Assumptions'!$E$29+'Business Plan Detailed'!BP107*'Headcount Cost Assumptions'!$E$30</f>
        <v>92690</v>
      </c>
      <c r="BQ83" s="355">
        <f>'Business Plan Detailed'!BQ85*'Headcount Cost Assumptions'!$E$8+'Business Plan Detailed'!BQ86*'Headcount Cost Assumptions'!$E$9+'Business Plan Detailed'!BQ87*'Headcount Cost Assumptions'!$E$10+'Business Plan Detailed'!BQ88*'Headcount Cost Assumptions'!$E$11+'Business Plan Detailed'!BQ89*'Headcount Cost Assumptions'!$E$12+'Business Plan Detailed'!BQ90*'Headcount Cost Assumptions'!$E$13+'Business Plan Detailed'!BQ91*'Headcount Cost Assumptions'!$E$14+'Business Plan Detailed'!BQ92*'Headcount Cost Assumptions'!$E$15+'Business Plan Detailed'!BQ93*'Headcount Cost Assumptions'!$E$16+'Business Plan Detailed'!BQ94*'Headcount Cost Assumptions'!$E$17+'Business Plan Detailed'!BQ95*'Headcount Cost Assumptions'!$E$18+'Business Plan Detailed'!BQ96*'Headcount Cost Assumptions'!$E$19+'Business Plan Detailed'!BQ97*'Headcount Cost Assumptions'!$E$20+'Business Plan Detailed'!BQ98*'Headcount Cost Assumptions'!$E$21+'Business Plan Detailed'!BQ99*'Headcount Cost Assumptions'!$E$22+'Business Plan Detailed'!BQ100*'Headcount Cost Assumptions'!$E$23+'Business Plan Detailed'!BQ101*'Headcount Cost Assumptions'!$E$24+'Business Plan Detailed'!BQ102*'Headcount Cost Assumptions'!$E$25+BQ103*'Headcount Cost Assumptions'!$E$26+BQ104*'Headcount Cost Assumptions'!$E$27+'Business Plan Detailed'!BQ105*'Headcount Cost Assumptions'!$E$28+BQ106*'Headcount Cost Assumptions'!$E$29+'Business Plan Detailed'!BQ107*'Headcount Cost Assumptions'!$E$30</f>
        <v>92690</v>
      </c>
      <c r="BR83" s="355">
        <f>'Business Plan Detailed'!BR85*'Headcount Cost Assumptions'!$E$8+'Business Plan Detailed'!BR86*'Headcount Cost Assumptions'!$E$9+'Business Plan Detailed'!BR87*'Headcount Cost Assumptions'!$E$10+'Business Plan Detailed'!BR88*'Headcount Cost Assumptions'!$E$11+'Business Plan Detailed'!BR89*'Headcount Cost Assumptions'!$E$12+'Business Plan Detailed'!BR90*'Headcount Cost Assumptions'!$E$13+'Business Plan Detailed'!BR91*'Headcount Cost Assumptions'!$E$14+'Business Plan Detailed'!BR92*'Headcount Cost Assumptions'!$E$15+'Business Plan Detailed'!BR93*'Headcount Cost Assumptions'!$E$16+'Business Plan Detailed'!BR94*'Headcount Cost Assumptions'!$E$17+'Business Plan Detailed'!BR95*'Headcount Cost Assumptions'!$E$18+'Business Plan Detailed'!BR96*'Headcount Cost Assumptions'!$E$19+'Business Plan Detailed'!BR97*'Headcount Cost Assumptions'!$E$20+'Business Plan Detailed'!BR98*'Headcount Cost Assumptions'!$E$21+'Business Plan Detailed'!BR99*'Headcount Cost Assumptions'!$E$22+'Business Plan Detailed'!BR100*'Headcount Cost Assumptions'!$E$23+'Business Plan Detailed'!BR101*'Headcount Cost Assumptions'!$E$24+'Business Plan Detailed'!BR102*'Headcount Cost Assumptions'!$E$25+BR103*'Headcount Cost Assumptions'!$E$26+BR104*'Headcount Cost Assumptions'!$E$27+'Business Plan Detailed'!BR105*'Headcount Cost Assumptions'!$E$28+BR106*'Headcount Cost Assumptions'!$E$29+'Business Plan Detailed'!BR107*'Headcount Cost Assumptions'!$E$30</f>
        <v>92690</v>
      </c>
      <c r="BS83" s="355">
        <f>'Business Plan Detailed'!BS85*'Headcount Cost Assumptions'!$E$8+'Business Plan Detailed'!BS86*'Headcount Cost Assumptions'!$E$9+'Business Plan Detailed'!BS87*'Headcount Cost Assumptions'!$E$10+'Business Plan Detailed'!BS88*'Headcount Cost Assumptions'!$E$11+'Business Plan Detailed'!BS89*'Headcount Cost Assumptions'!$E$12+'Business Plan Detailed'!BS90*'Headcount Cost Assumptions'!$E$13+'Business Plan Detailed'!BS91*'Headcount Cost Assumptions'!$E$14+'Business Plan Detailed'!BS92*'Headcount Cost Assumptions'!$E$15+'Business Plan Detailed'!BS93*'Headcount Cost Assumptions'!$E$16+'Business Plan Detailed'!BS94*'Headcount Cost Assumptions'!$E$17+'Business Plan Detailed'!BS95*'Headcount Cost Assumptions'!$E$18+'Business Plan Detailed'!BS96*'Headcount Cost Assumptions'!$E$19+'Business Plan Detailed'!BS97*'Headcount Cost Assumptions'!$E$20+'Business Plan Detailed'!BS98*'Headcount Cost Assumptions'!$E$21+'Business Plan Detailed'!BS99*'Headcount Cost Assumptions'!$E$22+'Business Plan Detailed'!BS100*'Headcount Cost Assumptions'!$E$23+'Business Plan Detailed'!BS101*'Headcount Cost Assumptions'!$E$24+'Business Plan Detailed'!BS102*'Headcount Cost Assumptions'!$E$25+BS103*'Headcount Cost Assumptions'!$E$26+BS104*'Headcount Cost Assumptions'!$E$27+'Business Plan Detailed'!BS105*'Headcount Cost Assumptions'!$E$28+BS106*'Headcount Cost Assumptions'!$E$29+'Business Plan Detailed'!BS107*'Headcount Cost Assumptions'!$E$30</f>
        <v>105560</v>
      </c>
      <c r="BT83" s="355">
        <f>'Business Plan Detailed'!BT85*'Headcount Cost Assumptions'!$E$8+'Business Plan Detailed'!BT86*'Headcount Cost Assumptions'!$E$9+'Business Plan Detailed'!BT87*'Headcount Cost Assumptions'!$E$10+'Business Plan Detailed'!BT88*'Headcount Cost Assumptions'!$E$11+'Business Plan Detailed'!BT89*'Headcount Cost Assumptions'!$E$12+'Business Plan Detailed'!BT90*'Headcount Cost Assumptions'!$E$13+'Business Plan Detailed'!BT91*'Headcount Cost Assumptions'!$E$14+'Business Plan Detailed'!BT92*'Headcount Cost Assumptions'!$E$15+'Business Plan Detailed'!BT93*'Headcount Cost Assumptions'!$E$16+'Business Plan Detailed'!BT94*'Headcount Cost Assumptions'!$E$17+'Business Plan Detailed'!BT95*'Headcount Cost Assumptions'!$E$18+'Business Plan Detailed'!BT96*'Headcount Cost Assumptions'!$E$19+'Business Plan Detailed'!BT97*'Headcount Cost Assumptions'!$E$20+'Business Plan Detailed'!BT98*'Headcount Cost Assumptions'!$E$21+'Business Plan Detailed'!BT99*'Headcount Cost Assumptions'!$E$22+'Business Plan Detailed'!BT100*'Headcount Cost Assumptions'!$E$23+'Business Plan Detailed'!BT101*'Headcount Cost Assumptions'!$E$24+'Business Plan Detailed'!BT102*'Headcount Cost Assumptions'!$E$25+BT103*'Headcount Cost Assumptions'!$E$26+BT104*'Headcount Cost Assumptions'!$E$27+'Business Plan Detailed'!BT105*'Headcount Cost Assumptions'!$E$28+BT106*'Headcount Cost Assumptions'!$E$29+'Business Plan Detailed'!BT107*'Headcount Cost Assumptions'!$E$30</f>
        <v>105560</v>
      </c>
      <c r="BU83" s="355">
        <f>'Business Plan Detailed'!BU85*'Headcount Cost Assumptions'!$E$8+'Business Plan Detailed'!BU86*'Headcount Cost Assumptions'!$E$9+'Business Plan Detailed'!BU87*'Headcount Cost Assumptions'!$E$10+'Business Plan Detailed'!BU88*'Headcount Cost Assumptions'!$E$11+'Business Plan Detailed'!BU89*'Headcount Cost Assumptions'!$E$12+'Business Plan Detailed'!BU90*'Headcount Cost Assumptions'!$E$13+'Business Plan Detailed'!BU91*'Headcount Cost Assumptions'!$E$14+'Business Plan Detailed'!BU92*'Headcount Cost Assumptions'!$E$15+'Business Plan Detailed'!BU93*'Headcount Cost Assumptions'!$E$16+'Business Plan Detailed'!BU94*'Headcount Cost Assumptions'!$E$17+'Business Plan Detailed'!BU95*'Headcount Cost Assumptions'!$E$18+'Business Plan Detailed'!BU96*'Headcount Cost Assumptions'!$E$19+'Business Plan Detailed'!BU97*'Headcount Cost Assumptions'!$E$20+'Business Plan Detailed'!BU98*'Headcount Cost Assumptions'!$E$21+'Business Plan Detailed'!BU99*'Headcount Cost Assumptions'!$E$22+'Business Plan Detailed'!BU100*'Headcount Cost Assumptions'!$E$23+'Business Plan Detailed'!BU101*'Headcount Cost Assumptions'!$E$24+'Business Plan Detailed'!BU102*'Headcount Cost Assumptions'!$E$25+BU103*'Headcount Cost Assumptions'!$E$26+BU104*'Headcount Cost Assumptions'!$E$27+'Business Plan Detailed'!BU105*'Headcount Cost Assumptions'!$E$28+BU106*'Headcount Cost Assumptions'!$E$29+'Business Plan Detailed'!BU107*'Headcount Cost Assumptions'!$E$30</f>
        <v>105560</v>
      </c>
      <c r="BV83" s="355">
        <f>'Business Plan Detailed'!BV85*'Headcount Cost Assumptions'!$E$8+'Business Plan Detailed'!BV86*'Headcount Cost Assumptions'!$E$9+'Business Plan Detailed'!BV87*'Headcount Cost Assumptions'!$E$10+'Business Plan Detailed'!BV88*'Headcount Cost Assumptions'!$E$11+'Business Plan Detailed'!BV89*'Headcount Cost Assumptions'!$E$12+'Business Plan Detailed'!BV90*'Headcount Cost Assumptions'!$E$13+'Business Plan Detailed'!BV91*'Headcount Cost Assumptions'!$E$14+'Business Plan Detailed'!BV92*'Headcount Cost Assumptions'!$E$15+'Business Plan Detailed'!BV93*'Headcount Cost Assumptions'!$E$16+'Business Plan Detailed'!BV94*'Headcount Cost Assumptions'!$E$17+'Business Plan Detailed'!BV95*'Headcount Cost Assumptions'!$E$18+'Business Plan Detailed'!BV96*'Headcount Cost Assumptions'!$E$19+'Business Plan Detailed'!BV97*'Headcount Cost Assumptions'!$E$20+'Business Plan Detailed'!BV98*'Headcount Cost Assumptions'!$E$21+'Business Plan Detailed'!BV99*'Headcount Cost Assumptions'!$E$22+'Business Plan Detailed'!BV100*'Headcount Cost Assumptions'!$E$23+'Business Plan Detailed'!BV101*'Headcount Cost Assumptions'!$E$24+'Business Plan Detailed'!BV102*'Headcount Cost Assumptions'!$E$25+BV103*'Headcount Cost Assumptions'!$E$26+BV104*'Headcount Cost Assumptions'!$E$27+'Business Plan Detailed'!BV105*'Headcount Cost Assumptions'!$E$28+BV106*'Headcount Cost Assumptions'!$E$29+'Business Plan Detailed'!BV107*'Headcount Cost Assumptions'!$E$30</f>
        <v>105560</v>
      </c>
      <c r="BW83" s="355">
        <f>'Business Plan Detailed'!BW85*'Headcount Cost Assumptions'!$E$8+'Business Plan Detailed'!BW86*'Headcount Cost Assumptions'!$E$9+'Business Plan Detailed'!BW87*'Headcount Cost Assumptions'!$E$10+'Business Plan Detailed'!BW88*'Headcount Cost Assumptions'!$E$11+'Business Plan Detailed'!BW89*'Headcount Cost Assumptions'!$E$12+'Business Plan Detailed'!BW90*'Headcount Cost Assumptions'!$E$13+'Business Plan Detailed'!BW91*'Headcount Cost Assumptions'!$E$14+'Business Plan Detailed'!BW92*'Headcount Cost Assumptions'!$E$15+'Business Plan Detailed'!BW93*'Headcount Cost Assumptions'!$E$16+'Business Plan Detailed'!BW94*'Headcount Cost Assumptions'!$E$17+'Business Plan Detailed'!BW95*'Headcount Cost Assumptions'!$E$18+'Business Plan Detailed'!BW96*'Headcount Cost Assumptions'!$E$19+'Business Plan Detailed'!BW97*'Headcount Cost Assumptions'!$E$20+'Business Plan Detailed'!BW98*'Headcount Cost Assumptions'!$E$21+'Business Plan Detailed'!BW99*'Headcount Cost Assumptions'!$E$22+'Business Plan Detailed'!BW100*'Headcount Cost Assumptions'!$E$23+'Business Plan Detailed'!BW101*'Headcount Cost Assumptions'!$E$24+'Business Plan Detailed'!BW102*'Headcount Cost Assumptions'!$E$25+BW103*'Headcount Cost Assumptions'!$E$26+BW104*'Headcount Cost Assumptions'!$E$27+'Business Plan Detailed'!BW105*'Headcount Cost Assumptions'!$E$28+BW106*'Headcount Cost Assumptions'!$E$29+'Business Plan Detailed'!BW107*'Headcount Cost Assumptions'!$E$30</f>
        <v>105560</v>
      </c>
      <c r="BX83" s="355">
        <f>'Business Plan Detailed'!BX85*'Headcount Cost Assumptions'!$E$8+'Business Plan Detailed'!BX86*'Headcount Cost Assumptions'!$E$9+'Business Plan Detailed'!BX87*'Headcount Cost Assumptions'!$E$10+'Business Plan Detailed'!BX88*'Headcount Cost Assumptions'!$E$11+'Business Plan Detailed'!BX89*'Headcount Cost Assumptions'!$E$12+'Business Plan Detailed'!BX90*'Headcount Cost Assumptions'!$E$13+'Business Plan Detailed'!BX91*'Headcount Cost Assumptions'!$E$14+'Business Plan Detailed'!BX92*'Headcount Cost Assumptions'!$E$15+'Business Plan Detailed'!BX93*'Headcount Cost Assumptions'!$E$16+'Business Plan Detailed'!BX94*'Headcount Cost Assumptions'!$E$17+'Business Plan Detailed'!BX95*'Headcount Cost Assumptions'!$E$18+'Business Plan Detailed'!BX96*'Headcount Cost Assumptions'!$E$19+'Business Plan Detailed'!BX97*'Headcount Cost Assumptions'!$E$20+'Business Plan Detailed'!BX98*'Headcount Cost Assumptions'!$E$21+'Business Plan Detailed'!BX99*'Headcount Cost Assumptions'!$E$22+'Business Plan Detailed'!BX100*'Headcount Cost Assumptions'!$E$23+'Business Plan Detailed'!BX101*'Headcount Cost Assumptions'!$E$24+'Business Plan Detailed'!BX102*'Headcount Cost Assumptions'!$E$25+BX103*'Headcount Cost Assumptions'!$E$26+BX104*'Headcount Cost Assumptions'!$E$27+'Business Plan Detailed'!BX105*'Headcount Cost Assumptions'!$E$28+BX106*'Headcount Cost Assumptions'!$E$29+'Business Plan Detailed'!BX107*'Headcount Cost Assumptions'!$E$30</f>
        <v>105560</v>
      </c>
      <c r="BY83" s="355">
        <f>'Business Plan Detailed'!BY85*'Headcount Cost Assumptions'!$E$8+'Business Plan Detailed'!BY86*'Headcount Cost Assumptions'!$E$9+'Business Plan Detailed'!BY87*'Headcount Cost Assumptions'!$E$10+'Business Plan Detailed'!BY88*'Headcount Cost Assumptions'!$E$11+'Business Plan Detailed'!BY89*'Headcount Cost Assumptions'!$E$12+'Business Plan Detailed'!BY90*'Headcount Cost Assumptions'!$E$13+'Business Plan Detailed'!BY91*'Headcount Cost Assumptions'!$E$14+'Business Plan Detailed'!BY92*'Headcount Cost Assumptions'!$E$15+'Business Plan Detailed'!BY93*'Headcount Cost Assumptions'!$E$16+'Business Plan Detailed'!BY94*'Headcount Cost Assumptions'!$E$17+'Business Plan Detailed'!BY95*'Headcount Cost Assumptions'!$E$18+'Business Plan Detailed'!BY96*'Headcount Cost Assumptions'!$E$19+'Business Plan Detailed'!BY97*'Headcount Cost Assumptions'!$E$20+'Business Plan Detailed'!BY98*'Headcount Cost Assumptions'!$E$21+'Business Plan Detailed'!BY99*'Headcount Cost Assumptions'!$E$22+'Business Plan Detailed'!BY100*'Headcount Cost Assumptions'!$E$23+'Business Plan Detailed'!BY101*'Headcount Cost Assumptions'!$E$24+'Business Plan Detailed'!BY102*'Headcount Cost Assumptions'!$E$25+BY103*'Headcount Cost Assumptions'!$E$26+BY104*'Headcount Cost Assumptions'!$E$27+'Business Plan Detailed'!BY105*'Headcount Cost Assumptions'!$E$28+BY106*'Headcount Cost Assumptions'!$E$29+'Business Plan Detailed'!BY107*'Headcount Cost Assumptions'!$E$30</f>
        <v>105560</v>
      </c>
      <c r="BZ83" s="355">
        <f>'Business Plan Detailed'!BZ85*'Headcount Cost Assumptions'!$E$8+'Business Plan Detailed'!BZ86*'Headcount Cost Assumptions'!$E$9+'Business Plan Detailed'!BZ87*'Headcount Cost Assumptions'!$E$10+'Business Plan Detailed'!BZ88*'Headcount Cost Assumptions'!$E$11+'Business Plan Detailed'!BZ89*'Headcount Cost Assumptions'!$E$12+'Business Plan Detailed'!BZ90*'Headcount Cost Assumptions'!$E$13+'Business Plan Detailed'!BZ91*'Headcount Cost Assumptions'!$E$14+'Business Plan Detailed'!BZ92*'Headcount Cost Assumptions'!$E$15+'Business Plan Detailed'!BZ93*'Headcount Cost Assumptions'!$E$16+'Business Plan Detailed'!BZ94*'Headcount Cost Assumptions'!$E$17+'Business Plan Detailed'!BZ95*'Headcount Cost Assumptions'!$E$18+'Business Plan Detailed'!BZ96*'Headcount Cost Assumptions'!$E$19+'Business Plan Detailed'!BZ97*'Headcount Cost Assumptions'!$E$20+'Business Plan Detailed'!BZ98*'Headcount Cost Assumptions'!$E$21+'Business Plan Detailed'!BZ99*'Headcount Cost Assumptions'!$E$22+'Business Plan Detailed'!BZ100*'Headcount Cost Assumptions'!$E$23+'Business Plan Detailed'!BZ101*'Headcount Cost Assumptions'!$E$24+'Business Plan Detailed'!BZ102*'Headcount Cost Assumptions'!$E$25+BZ103*'Headcount Cost Assumptions'!$E$26+BZ104*'Headcount Cost Assumptions'!$E$27+'Business Plan Detailed'!BZ105*'Headcount Cost Assumptions'!$E$28+BZ106*'Headcount Cost Assumptions'!$E$29+'Business Plan Detailed'!BZ107*'Headcount Cost Assumptions'!$E$30</f>
        <v>105560</v>
      </c>
      <c r="CA83" s="355">
        <f>'Business Plan Detailed'!CA85*'Headcount Cost Assumptions'!$E$8+'Business Plan Detailed'!CA86*'Headcount Cost Assumptions'!$E$9+'Business Plan Detailed'!CA87*'Headcount Cost Assumptions'!$E$10+'Business Plan Detailed'!CA88*'Headcount Cost Assumptions'!$E$11+'Business Plan Detailed'!CA89*'Headcount Cost Assumptions'!$E$12+'Business Plan Detailed'!CA90*'Headcount Cost Assumptions'!$E$13+'Business Plan Detailed'!CA91*'Headcount Cost Assumptions'!$E$14+'Business Plan Detailed'!CA92*'Headcount Cost Assumptions'!$E$15+'Business Plan Detailed'!CA93*'Headcount Cost Assumptions'!$E$16+'Business Plan Detailed'!CA94*'Headcount Cost Assumptions'!$E$17+'Business Plan Detailed'!CA95*'Headcount Cost Assumptions'!$E$18+'Business Plan Detailed'!CA96*'Headcount Cost Assumptions'!$E$19+'Business Plan Detailed'!CA97*'Headcount Cost Assumptions'!$E$20+'Business Plan Detailed'!CA98*'Headcount Cost Assumptions'!$E$21+'Business Plan Detailed'!CA99*'Headcount Cost Assumptions'!$E$22+'Business Plan Detailed'!CA100*'Headcount Cost Assumptions'!$E$23+'Business Plan Detailed'!CA101*'Headcount Cost Assumptions'!$E$24+'Business Plan Detailed'!CA102*'Headcount Cost Assumptions'!$E$25+CA103*'Headcount Cost Assumptions'!$E$26+CA104*'Headcount Cost Assumptions'!$E$27+'Business Plan Detailed'!CA105*'Headcount Cost Assumptions'!$E$28+CA106*'Headcount Cost Assumptions'!$E$29+'Business Plan Detailed'!CA107*'Headcount Cost Assumptions'!$E$30</f>
        <v>116480</v>
      </c>
      <c r="CB83" s="355">
        <f>'Business Plan Detailed'!CB85*'Headcount Cost Assumptions'!$E$8+'Business Plan Detailed'!CB86*'Headcount Cost Assumptions'!$E$9+'Business Plan Detailed'!CB87*'Headcount Cost Assumptions'!$E$10+'Business Plan Detailed'!CB88*'Headcount Cost Assumptions'!$E$11+'Business Plan Detailed'!CB89*'Headcount Cost Assumptions'!$E$12+'Business Plan Detailed'!CB90*'Headcount Cost Assumptions'!$E$13+'Business Plan Detailed'!CB91*'Headcount Cost Assumptions'!$E$14+'Business Plan Detailed'!CB92*'Headcount Cost Assumptions'!$E$15+'Business Plan Detailed'!CB93*'Headcount Cost Assumptions'!$E$16+'Business Plan Detailed'!CB94*'Headcount Cost Assumptions'!$E$17+'Business Plan Detailed'!CB95*'Headcount Cost Assumptions'!$E$18+'Business Plan Detailed'!CB96*'Headcount Cost Assumptions'!$E$19+'Business Plan Detailed'!CB97*'Headcount Cost Assumptions'!$E$20+'Business Plan Detailed'!CB98*'Headcount Cost Assumptions'!$E$21+'Business Plan Detailed'!CB99*'Headcount Cost Assumptions'!$E$22+'Business Plan Detailed'!CB100*'Headcount Cost Assumptions'!$E$23+'Business Plan Detailed'!CB101*'Headcount Cost Assumptions'!$E$24+'Business Plan Detailed'!CB102*'Headcount Cost Assumptions'!$E$25+CB103*'Headcount Cost Assumptions'!$E$26+CB104*'Headcount Cost Assumptions'!$E$27+'Business Plan Detailed'!CB105*'Headcount Cost Assumptions'!$E$28+CB106*'Headcount Cost Assumptions'!$E$29+'Business Plan Detailed'!CB107*'Headcount Cost Assumptions'!$E$30</f>
        <v>116480</v>
      </c>
      <c r="CC83" s="355">
        <f>'Business Plan Detailed'!CC85*'Headcount Cost Assumptions'!$E$8+'Business Plan Detailed'!CC86*'Headcount Cost Assumptions'!$E$9+'Business Plan Detailed'!CC87*'Headcount Cost Assumptions'!$E$10+'Business Plan Detailed'!CC88*'Headcount Cost Assumptions'!$E$11+'Business Plan Detailed'!CC89*'Headcount Cost Assumptions'!$E$12+'Business Plan Detailed'!CC90*'Headcount Cost Assumptions'!$E$13+'Business Plan Detailed'!CC91*'Headcount Cost Assumptions'!$E$14+'Business Plan Detailed'!CC92*'Headcount Cost Assumptions'!$E$15+'Business Plan Detailed'!CC93*'Headcount Cost Assumptions'!$E$16+'Business Plan Detailed'!CC94*'Headcount Cost Assumptions'!$E$17+'Business Plan Detailed'!CC95*'Headcount Cost Assumptions'!$E$18+'Business Plan Detailed'!CC96*'Headcount Cost Assumptions'!$E$19+'Business Plan Detailed'!CC97*'Headcount Cost Assumptions'!$E$20+'Business Plan Detailed'!CC98*'Headcount Cost Assumptions'!$E$21+'Business Plan Detailed'!CC99*'Headcount Cost Assumptions'!$E$22+'Business Plan Detailed'!CC100*'Headcount Cost Assumptions'!$E$23+'Business Plan Detailed'!CC101*'Headcount Cost Assumptions'!$E$24+'Business Plan Detailed'!CC102*'Headcount Cost Assumptions'!$E$25+CC103*'Headcount Cost Assumptions'!$E$26+CC104*'Headcount Cost Assumptions'!$E$27+'Business Plan Detailed'!CC105*'Headcount Cost Assumptions'!$E$28+CC106*'Headcount Cost Assumptions'!$E$29+'Business Plan Detailed'!CC107*'Headcount Cost Assumptions'!$E$30</f>
        <v>116480</v>
      </c>
      <c r="CD83" s="355">
        <f>'Business Plan Detailed'!CD85*'Headcount Cost Assumptions'!$E$8+'Business Plan Detailed'!CD86*'Headcount Cost Assumptions'!$E$9+'Business Plan Detailed'!CD87*'Headcount Cost Assumptions'!$E$10+'Business Plan Detailed'!CD88*'Headcount Cost Assumptions'!$E$11+'Business Plan Detailed'!CD89*'Headcount Cost Assumptions'!$E$12+'Business Plan Detailed'!CD90*'Headcount Cost Assumptions'!$E$13+'Business Plan Detailed'!CD91*'Headcount Cost Assumptions'!$E$14+'Business Plan Detailed'!CD92*'Headcount Cost Assumptions'!$E$15+'Business Plan Detailed'!CD93*'Headcount Cost Assumptions'!$E$16+'Business Plan Detailed'!CD94*'Headcount Cost Assumptions'!$E$17+'Business Plan Detailed'!CD95*'Headcount Cost Assumptions'!$E$18+'Business Plan Detailed'!CD96*'Headcount Cost Assumptions'!$E$19+'Business Plan Detailed'!CD97*'Headcount Cost Assumptions'!$E$20+'Business Plan Detailed'!CD98*'Headcount Cost Assumptions'!$E$21+'Business Plan Detailed'!CD99*'Headcount Cost Assumptions'!$E$22+'Business Plan Detailed'!CD100*'Headcount Cost Assumptions'!$E$23+'Business Plan Detailed'!CD101*'Headcount Cost Assumptions'!$E$24+'Business Plan Detailed'!CD102*'Headcount Cost Assumptions'!$E$25+CD103*'Headcount Cost Assumptions'!$E$26+CD104*'Headcount Cost Assumptions'!$E$27+'Business Plan Detailed'!CD105*'Headcount Cost Assumptions'!$E$28+CD106*'Headcount Cost Assumptions'!$E$29+'Business Plan Detailed'!CD107*'Headcount Cost Assumptions'!$E$30</f>
        <v>116480</v>
      </c>
      <c r="CE83" s="355">
        <f>'Business Plan Detailed'!CE85*'Headcount Cost Assumptions'!$E$8+'Business Plan Detailed'!CE86*'Headcount Cost Assumptions'!$E$9+'Business Plan Detailed'!CE87*'Headcount Cost Assumptions'!$E$10+'Business Plan Detailed'!CE88*'Headcount Cost Assumptions'!$E$11+'Business Plan Detailed'!CE89*'Headcount Cost Assumptions'!$E$12+'Business Plan Detailed'!CE90*'Headcount Cost Assumptions'!$E$13+'Business Plan Detailed'!CE91*'Headcount Cost Assumptions'!$E$14+'Business Plan Detailed'!CE92*'Headcount Cost Assumptions'!$E$15+'Business Plan Detailed'!CE93*'Headcount Cost Assumptions'!$E$16+'Business Plan Detailed'!CE94*'Headcount Cost Assumptions'!$E$17+'Business Plan Detailed'!CE95*'Headcount Cost Assumptions'!$E$18+'Business Plan Detailed'!CE96*'Headcount Cost Assumptions'!$E$19+'Business Plan Detailed'!CE97*'Headcount Cost Assumptions'!$E$20+'Business Plan Detailed'!CE98*'Headcount Cost Assumptions'!$E$21+'Business Plan Detailed'!CE99*'Headcount Cost Assumptions'!$E$22+'Business Plan Detailed'!CE100*'Headcount Cost Assumptions'!$E$23+'Business Plan Detailed'!CE101*'Headcount Cost Assumptions'!$E$24+'Business Plan Detailed'!CE102*'Headcount Cost Assumptions'!$E$25+CE103*'Headcount Cost Assumptions'!$E$26+CE104*'Headcount Cost Assumptions'!$E$27+'Business Plan Detailed'!CE105*'Headcount Cost Assumptions'!$E$28+CE106*'Headcount Cost Assumptions'!$E$29+'Business Plan Detailed'!CE107*'Headcount Cost Assumptions'!$E$30</f>
        <v>116480</v>
      </c>
      <c r="CF83" s="355">
        <f>'Business Plan Detailed'!CF85*'Headcount Cost Assumptions'!$E$8+'Business Plan Detailed'!CF86*'Headcount Cost Assumptions'!$E$9+'Business Plan Detailed'!CF87*'Headcount Cost Assumptions'!$E$10+'Business Plan Detailed'!CF88*'Headcount Cost Assumptions'!$E$11+'Business Plan Detailed'!CF89*'Headcount Cost Assumptions'!$E$12+'Business Plan Detailed'!CF90*'Headcount Cost Assumptions'!$E$13+'Business Plan Detailed'!CF91*'Headcount Cost Assumptions'!$E$14+'Business Plan Detailed'!CF92*'Headcount Cost Assumptions'!$E$15+'Business Plan Detailed'!CF93*'Headcount Cost Assumptions'!$E$16+'Business Plan Detailed'!CF94*'Headcount Cost Assumptions'!$E$17+'Business Plan Detailed'!CF95*'Headcount Cost Assumptions'!$E$18+'Business Plan Detailed'!CF96*'Headcount Cost Assumptions'!$E$19+'Business Plan Detailed'!CF97*'Headcount Cost Assumptions'!$E$20+'Business Plan Detailed'!CF98*'Headcount Cost Assumptions'!$E$21+'Business Plan Detailed'!CF99*'Headcount Cost Assumptions'!$E$22+'Business Plan Detailed'!CF100*'Headcount Cost Assumptions'!$E$23+'Business Plan Detailed'!CF101*'Headcount Cost Assumptions'!$E$24+'Business Plan Detailed'!CF102*'Headcount Cost Assumptions'!$E$25+CF103*'Headcount Cost Assumptions'!$E$26+CF104*'Headcount Cost Assumptions'!$E$27+'Business Plan Detailed'!CF105*'Headcount Cost Assumptions'!$E$28+CF106*'Headcount Cost Assumptions'!$E$29+'Business Plan Detailed'!CF107*'Headcount Cost Assumptions'!$E$30</f>
        <v>116480</v>
      </c>
      <c r="CG83" s="355">
        <f>'Business Plan Detailed'!CG85*'Headcount Cost Assumptions'!$E$8+'Business Plan Detailed'!CG86*'Headcount Cost Assumptions'!$E$9+'Business Plan Detailed'!CG87*'Headcount Cost Assumptions'!$E$10+'Business Plan Detailed'!CG88*'Headcount Cost Assumptions'!$E$11+'Business Plan Detailed'!CG89*'Headcount Cost Assumptions'!$E$12+'Business Plan Detailed'!CG90*'Headcount Cost Assumptions'!$E$13+'Business Plan Detailed'!CG91*'Headcount Cost Assumptions'!$E$14+'Business Plan Detailed'!CG92*'Headcount Cost Assumptions'!$E$15+'Business Plan Detailed'!CG93*'Headcount Cost Assumptions'!$E$16+'Business Plan Detailed'!CG94*'Headcount Cost Assumptions'!$E$17+'Business Plan Detailed'!CG95*'Headcount Cost Assumptions'!$E$18+'Business Plan Detailed'!CG96*'Headcount Cost Assumptions'!$E$19+'Business Plan Detailed'!CG97*'Headcount Cost Assumptions'!$E$20+'Business Plan Detailed'!CG98*'Headcount Cost Assumptions'!$E$21+'Business Plan Detailed'!CG99*'Headcount Cost Assumptions'!$E$22+'Business Plan Detailed'!CG100*'Headcount Cost Assumptions'!$E$23+'Business Plan Detailed'!CG101*'Headcount Cost Assumptions'!$E$24+'Business Plan Detailed'!CG102*'Headcount Cost Assumptions'!$E$25+CG103*'Headcount Cost Assumptions'!$E$26+CG104*'Headcount Cost Assumptions'!$E$27+'Business Plan Detailed'!CG105*'Headcount Cost Assumptions'!$E$28+CG106*'Headcount Cost Assumptions'!$E$29+'Business Plan Detailed'!CG107*'Headcount Cost Assumptions'!$E$30</f>
        <v>116480</v>
      </c>
      <c r="CH83" s="355">
        <f>'Business Plan Detailed'!CH85*'Headcount Cost Assumptions'!$E$8+'Business Plan Detailed'!CH86*'Headcount Cost Assumptions'!$E$9+'Business Plan Detailed'!CH87*'Headcount Cost Assumptions'!$E$10+'Business Plan Detailed'!CH88*'Headcount Cost Assumptions'!$E$11+'Business Plan Detailed'!CH89*'Headcount Cost Assumptions'!$E$12+'Business Plan Detailed'!CH90*'Headcount Cost Assumptions'!$E$13+'Business Plan Detailed'!CH91*'Headcount Cost Assumptions'!$E$14+'Business Plan Detailed'!CH92*'Headcount Cost Assumptions'!$E$15+'Business Plan Detailed'!CH93*'Headcount Cost Assumptions'!$E$16+'Business Plan Detailed'!CH94*'Headcount Cost Assumptions'!$E$17+'Business Plan Detailed'!CH95*'Headcount Cost Assumptions'!$E$18+'Business Plan Detailed'!CH96*'Headcount Cost Assumptions'!$E$19+'Business Plan Detailed'!CH97*'Headcount Cost Assumptions'!$E$20+'Business Plan Detailed'!CH98*'Headcount Cost Assumptions'!$E$21+'Business Plan Detailed'!CH99*'Headcount Cost Assumptions'!$E$22+'Business Plan Detailed'!CH100*'Headcount Cost Assumptions'!$E$23+'Business Plan Detailed'!CH101*'Headcount Cost Assumptions'!$E$24+'Business Plan Detailed'!CH102*'Headcount Cost Assumptions'!$E$25+CH103*'Headcount Cost Assumptions'!$E$26+CH104*'Headcount Cost Assumptions'!$E$27+'Business Plan Detailed'!CH105*'Headcount Cost Assumptions'!$E$28+CH106*'Headcount Cost Assumptions'!$E$29+'Business Plan Detailed'!CH107*'Headcount Cost Assumptions'!$E$30</f>
        <v>116480</v>
      </c>
      <c r="CI83" s="355">
        <f>'Business Plan Detailed'!CI85*'Headcount Cost Assumptions'!$E$8+'Business Plan Detailed'!CI86*'Headcount Cost Assumptions'!$E$9+'Business Plan Detailed'!CI87*'Headcount Cost Assumptions'!$E$10+'Business Plan Detailed'!CI88*'Headcount Cost Assumptions'!$E$11+'Business Plan Detailed'!CI89*'Headcount Cost Assumptions'!$E$12+'Business Plan Detailed'!CI90*'Headcount Cost Assumptions'!$E$13+'Business Plan Detailed'!CI91*'Headcount Cost Assumptions'!$E$14+'Business Plan Detailed'!CI92*'Headcount Cost Assumptions'!$E$15+'Business Plan Detailed'!CI93*'Headcount Cost Assumptions'!$E$16+'Business Plan Detailed'!CI94*'Headcount Cost Assumptions'!$E$17+'Business Plan Detailed'!CI95*'Headcount Cost Assumptions'!$E$18+'Business Plan Detailed'!CI96*'Headcount Cost Assumptions'!$E$19+'Business Plan Detailed'!CI97*'Headcount Cost Assumptions'!$E$20+'Business Plan Detailed'!CI98*'Headcount Cost Assumptions'!$E$21+'Business Plan Detailed'!CI99*'Headcount Cost Assumptions'!$E$22+'Business Plan Detailed'!CI100*'Headcount Cost Assumptions'!$E$23+'Business Plan Detailed'!CI101*'Headcount Cost Assumptions'!$E$24+'Business Plan Detailed'!CI102*'Headcount Cost Assumptions'!$E$25+CI103*'Headcount Cost Assumptions'!$E$26+CI104*'Headcount Cost Assumptions'!$E$27+'Business Plan Detailed'!CI105*'Headcount Cost Assumptions'!$E$28+CI106*'Headcount Cost Assumptions'!$E$29+'Business Plan Detailed'!CI107*'Headcount Cost Assumptions'!$E$30</f>
        <v>127400</v>
      </c>
      <c r="CJ83" s="355">
        <f>'Business Plan Detailed'!CJ85*'Headcount Cost Assumptions'!$E$8+'Business Plan Detailed'!CJ86*'Headcount Cost Assumptions'!$E$9+'Business Plan Detailed'!CJ87*'Headcount Cost Assumptions'!$E$10+'Business Plan Detailed'!CJ88*'Headcount Cost Assumptions'!$E$11+'Business Plan Detailed'!CJ89*'Headcount Cost Assumptions'!$E$12+'Business Plan Detailed'!CJ90*'Headcount Cost Assumptions'!$E$13+'Business Plan Detailed'!CJ91*'Headcount Cost Assumptions'!$E$14+'Business Plan Detailed'!CJ92*'Headcount Cost Assumptions'!$E$15+'Business Plan Detailed'!CJ93*'Headcount Cost Assumptions'!$E$16+'Business Plan Detailed'!CJ94*'Headcount Cost Assumptions'!$E$17+'Business Plan Detailed'!CJ95*'Headcount Cost Assumptions'!$E$18+'Business Plan Detailed'!CJ96*'Headcount Cost Assumptions'!$E$19+'Business Plan Detailed'!CJ97*'Headcount Cost Assumptions'!$E$20+'Business Plan Detailed'!CJ98*'Headcount Cost Assumptions'!$E$21+'Business Plan Detailed'!CJ99*'Headcount Cost Assumptions'!$E$22+'Business Plan Detailed'!CJ100*'Headcount Cost Assumptions'!$E$23+'Business Plan Detailed'!CJ101*'Headcount Cost Assumptions'!$E$24+'Business Plan Detailed'!CJ102*'Headcount Cost Assumptions'!$E$25+CJ103*'Headcount Cost Assumptions'!$E$26+CJ104*'Headcount Cost Assumptions'!$E$27+'Business Plan Detailed'!CJ105*'Headcount Cost Assumptions'!$E$28+CJ106*'Headcount Cost Assumptions'!$E$29+'Business Plan Detailed'!CJ107*'Headcount Cost Assumptions'!$E$30</f>
        <v>127400</v>
      </c>
      <c r="CK83" s="355">
        <f>'Business Plan Detailed'!CK85*'Headcount Cost Assumptions'!$E$8+'Business Plan Detailed'!CK86*'Headcount Cost Assumptions'!$E$9+'Business Plan Detailed'!CK87*'Headcount Cost Assumptions'!$E$10+'Business Plan Detailed'!CK88*'Headcount Cost Assumptions'!$E$11+'Business Plan Detailed'!CK89*'Headcount Cost Assumptions'!$E$12+'Business Plan Detailed'!CK90*'Headcount Cost Assumptions'!$E$13+'Business Plan Detailed'!CK91*'Headcount Cost Assumptions'!$E$14+'Business Plan Detailed'!CK92*'Headcount Cost Assumptions'!$E$15+'Business Plan Detailed'!CK93*'Headcount Cost Assumptions'!$E$16+'Business Plan Detailed'!CK94*'Headcount Cost Assumptions'!$E$17+'Business Plan Detailed'!CK95*'Headcount Cost Assumptions'!$E$18+'Business Plan Detailed'!CK96*'Headcount Cost Assumptions'!$E$19+'Business Plan Detailed'!CK97*'Headcount Cost Assumptions'!$E$20+'Business Plan Detailed'!CK98*'Headcount Cost Assumptions'!$E$21+'Business Plan Detailed'!CK99*'Headcount Cost Assumptions'!$E$22+'Business Plan Detailed'!CK100*'Headcount Cost Assumptions'!$E$23+'Business Plan Detailed'!CK101*'Headcount Cost Assumptions'!$E$24+'Business Plan Detailed'!CK102*'Headcount Cost Assumptions'!$E$25+CK103*'Headcount Cost Assumptions'!$E$26+CK104*'Headcount Cost Assumptions'!$E$27+'Business Plan Detailed'!CK105*'Headcount Cost Assumptions'!$E$28+CK106*'Headcount Cost Assumptions'!$E$29+'Business Plan Detailed'!CK107*'Headcount Cost Assumptions'!$E$30</f>
        <v>127400</v>
      </c>
      <c r="CL83" s="355">
        <f>'Business Plan Detailed'!CL85*'Headcount Cost Assumptions'!$E$8+'Business Plan Detailed'!CL86*'Headcount Cost Assumptions'!$E$9+'Business Plan Detailed'!CL87*'Headcount Cost Assumptions'!$E$10+'Business Plan Detailed'!CL88*'Headcount Cost Assumptions'!$E$11+'Business Plan Detailed'!CL89*'Headcount Cost Assumptions'!$E$12+'Business Plan Detailed'!CL90*'Headcount Cost Assumptions'!$E$13+'Business Plan Detailed'!CL91*'Headcount Cost Assumptions'!$E$14+'Business Plan Detailed'!CL92*'Headcount Cost Assumptions'!$E$15+'Business Plan Detailed'!CL93*'Headcount Cost Assumptions'!$E$16+'Business Plan Detailed'!CL94*'Headcount Cost Assumptions'!$E$17+'Business Plan Detailed'!CL95*'Headcount Cost Assumptions'!$E$18+'Business Plan Detailed'!CL96*'Headcount Cost Assumptions'!$E$19+'Business Plan Detailed'!CL97*'Headcount Cost Assumptions'!$E$20+'Business Plan Detailed'!CL98*'Headcount Cost Assumptions'!$E$21+'Business Plan Detailed'!CL99*'Headcount Cost Assumptions'!$E$22+'Business Plan Detailed'!CL100*'Headcount Cost Assumptions'!$E$23+'Business Plan Detailed'!CL101*'Headcount Cost Assumptions'!$E$24+'Business Plan Detailed'!CL102*'Headcount Cost Assumptions'!$E$25+CL103*'Headcount Cost Assumptions'!$E$26+CL104*'Headcount Cost Assumptions'!$E$27+'Business Plan Detailed'!CL105*'Headcount Cost Assumptions'!$E$28+CL106*'Headcount Cost Assumptions'!$E$29+'Business Plan Detailed'!CL107*'Headcount Cost Assumptions'!$E$30</f>
        <v>127400</v>
      </c>
      <c r="CM83" s="355">
        <f>'Business Plan Detailed'!CM85*'Headcount Cost Assumptions'!$E$8+'Business Plan Detailed'!CM86*'Headcount Cost Assumptions'!$E$9+'Business Plan Detailed'!CM87*'Headcount Cost Assumptions'!$E$10+'Business Plan Detailed'!CM88*'Headcount Cost Assumptions'!$E$11+'Business Plan Detailed'!CM89*'Headcount Cost Assumptions'!$E$12+'Business Plan Detailed'!CM90*'Headcount Cost Assumptions'!$E$13+'Business Plan Detailed'!CM91*'Headcount Cost Assumptions'!$E$14+'Business Plan Detailed'!CM92*'Headcount Cost Assumptions'!$E$15+'Business Plan Detailed'!CM93*'Headcount Cost Assumptions'!$E$16+'Business Plan Detailed'!CM94*'Headcount Cost Assumptions'!$E$17+'Business Plan Detailed'!CM95*'Headcount Cost Assumptions'!$E$18+'Business Plan Detailed'!CM96*'Headcount Cost Assumptions'!$E$19+'Business Plan Detailed'!CM97*'Headcount Cost Assumptions'!$E$20+'Business Plan Detailed'!CM98*'Headcount Cost Assumptions'!$E$21+'Business Plan Detailed'!CM99*'Headcount Cost Assumptions'!$E$22+'Business Plan Detailed'!CM100*'Headcount Cost Assumptions'!$E$23+'Business Plan Detailed'!CM101*'Headcount Cost Assumptions'!$E$24+'Business Plan Detailed'!CM102*'Headcount Cost Assumptions'!$E$25+CM103*'Headcount Cost Assumptions'!$E$26+CM104*'Headcount Cost Assumptions'!$E$27+'Business Plan Detailed'!CM105*'Headcount Cost Assumptions'!$E$28+CM106*'Headcount Cost Assumptions'!$E$29+'Business Plan Detailed'!CM107*'Headcount Cost Assumptions'!$E$30</f>
        <v>127400</v>
      </c>
      <c r="CN83" s="355">
        <f>'Business Plan Detailed'!CN85*'Headcount Cost Assumptions'!$E$8+'Business Plan Detailed'!CN86*'Headcount Cost Assumptions'!$E$9+'Business Plan Detailed'!CN87*'Headcount Cost Assumptions'!$E$10+'Business Plan Detailed'!CN88*'Headcount Cost Assumptions'!$E$11+'Business Plan Detailed'!CN89*'Headcount Cost Assumptions'!$E$12+'Business Plan Detailed'!CN90*'Headcount Cost Assumptions'!$E$13+'Business Plan Detailed'!CN91*'Headcount Cost Assumptions'!$E$14+'Business Plan Detailed'!CN92*'Headcount Cost Assumptions'!$E$15+'Business Plan Detailed'!CN93*'Headcount Cost Assumptions'!$E$16+'Business Plan Detailed'!CN94*'Headcount Cost Assumptions'!$E$17+'Business Plan Detailed'!CN95*'Headcount Cost Assumptions'!$E$18+'Business Plan Detailed'!CN96*'Headcount Cost Assumptions'!$E$19+'Business Plan Detailed'!CN97*'Headcount Cost Assumptions'!$E$20+'Business Plan Detailed'!CN98*'Headcount Cost Assumptions'!$E$21+'Business Plan Detailed'!CN99*'Headcount Cost Assumptions'!$E$22+'Business Plan Detailed'!CN100*'Headcount Cost Assumptions'!$E$23+'Business Plan Detailed'!CN101*'Headcount Cost Assumptions'!$E$24+'Business Plan Detailed'!CN102*'Headcount Cost Assumptions'!$E$25+CN103*'Headcount Cost Assumptions'!$E$26+CN104*'Headcount Cost Assumptions'!$E$27+'Business Plan Detailed'!CN105*'Headcount Cost Assumptions'!$E$28+CN106*'Headcount Cost Assumptions'!$E$29+'Business Plan Detailed'!CN107*'Headcount Cost Assumptions'!$E$30</f>
        <v>127400</v>
      </c>
      <c r="CO83" s="355">
        <f>'Business Plan Detailed'!CO85*'Headcount Cost Assumptions'!$E$8+'Business Plan Detailed'!CO86*'Headcount Cost Assumptions'!$E$9+'Business Plan Detailed'!CO87*'Headcount Cost Assumptions'!$E$10+'Business Plan Detailed'!CO88*'Headcount Cost Assumptions'!$E$11+'Business Plan Detailed'!CO89*'Headcount Cost Assumptions'!$E$12+'Business Plan Detailed'!CO90*'Headcount Cost Assumptions'!$E$13+'Business Plan Detailed'!CO91*'Headcount Cost Assumptions'!$E$14+'Business Plan Detailed'!CO92*'Headcount Cost Assumptions'!$E$15+'Business Plan Detailed'!CO93*'Headcount Cost Assumptions'!$E$16+'Business Plan Detailed'!CO94*'Headcount Cost Assumptions'!$E$17+'Business Plan Detailed'!CO95*'Headcount Cost Assumptions'!$E$18+'Business Plan Detailed'!CO96*'Headcount Cost Assumptions'!$E$19+'Business Plan Detailed'!CO97*'Headcount Cost Assumptions'!$E$20+'Business Plan Detailed'!CO98*'Headcount Cost Assumptions'!$E$21+'Business Plan Detailed'!CO99*'Headcount Cost Assumptions'!$E$22+'Business Plan Detailed'!CO100*'Headcount Cost Assumptions'!$E$23+'Business Plan Detailed'!CO101*'Headcount Cost Assumptions'!$E$24+'Business Plan Detailed'!CO102*'Headcount Cost Assumptions'!$E$25+CO103*'Headcount Cost Assumptions'!$E$26+CO104*'Headcount Cost Assumptions'!$E$27+'Business Plan Detailed'!CO105*'Headcount Cost Assumptions'!$E$28+CO106*'Headcount Cost Assumptions'!$E$29+'Business Plan Detailed'!CO107*'Headcount Cost Assumptions'!$E$30</f>
        <v>127400</v>
      </c>
      <c r="CP83" s="355">
        <f>'Business Plan Detailed'!CP85*'Headcount Cost Assumptions'!$E$8+'Business Plan Detailed'!CP86*'Headcount Cost Assumptions'!$E$9+'Business Plan Detailed'!CP87*'Headcount Cost Assumptions'!$E$10+'Business Plan Detailed'!CP88*'Headcount Cost Assumptions'!$E$11+'Business Plan Detailed'!CP89*'Headcount Cost Assumptions'!$E$12+'Business Plan Detailed'!CP90*'Headcount Cost Assumptions'!$E$13+'Business Plan Detailed'!CP91*'Headcount Cost Assumptions'!$E$14+'Business Plan Detailed'!CP92*'Headcount Cost Assumptions'!$E$15+'Business Plan Detailed'!CP93*'Headcount Cost Assumptions'!$E$16+'Business Plan Detailed'!CP94*'Headcount Cost Assumptions'!$E$17+'Business Plan Detailed'!CP95*'Headcount Cost Assumptions'!$E$18+'Business Plan Detailed'!CP96*'Headcount Cost Assumptions'!$E$19+'Business Plan Detailed'!CP97*'Headcount Cost Assumptions'!$E$20+'Business Plan Detailed'!CP98*'Headcount Cost Assumptions'!$E$21+'Business Plan Detailed'!CP99*'Headcount Cost Assumptions'!$E$22+'Business Plan Detailed'!CP100*'Headcount Cost Assumptions'!$E$23+'Business Plan Detailed'!CP101*'Headcount Cost Assumptions'!$E$24+'Business Plan Detailed'!CP102*'Headcount Cost Assumptions'!$E$25+CP103*'Headcount Cost Assumptions'!$E$26+CP104*'Headcount Cost Assumptions'!$E$27+'Business Plan Detailed'!CP105*'Headcount Cost Assumptions'!$E$28+CP106*'Headcount Cost Assumptions'!$E$29+'Business Plan Detailed'!CP107*'Headcount Cost Assumptions'!$E$30</f>
        <v>127400</v>
      </c>
      <c r="CQ83" s="355">
        <f>'Business Plan Detailed'!CQ85*'Headcount Cost Assumptions'!$E$8+'Business Plan Detailed'!CQ86*'Headcount Cost Assumptions'!$E$9+'Business Plan Detailed'!CQ87*'Headcount Cost Assumptions'!$E$10+'Business Plan Detailed'!CQ88*'Headcount Cost Assumptions'!$E$11+'Business Plan Detailed'!CQ89*'Headcount Cost Assumptions'!$E$12+'Business Plan Detailed'!CQ90*'Headcount Cost Assumptions'!$E$13+'Business Plan Detailed'!CQ91*'Headcount Cost Assumptions'!$E$14+'Business Plan Detailed'!CQ92*'Headcount Cost Assumptions'!$E$15+'Business Plan Detailed'!CQ93*'Headcount Cost Assumptions'!$E$16+'Business Plan Detailed'!CQ94*'Headcount Cost Assumptions'!$E$17+'Business Plan Detailed'!CQ95*'Headcount Cost Assumptions'!$E$18+'Business Plan Detailed'!CQ96*'Headcount Cost Assumptions'!$E$19+'Business Plan Detailed'!CQ97*'Headcount Cost Assumptions'!$E$20+'Business Plan Detailed'!CQ98*'Headcount Cost Assumptions'!$E$21+'Business Plan Detailed'!CQ99*'Headcount Cost Assumptions'!$E$22+'Business Plan Detailed'!CQ100*'Headcount Cost Assumptions'!$E$23+'Business Plan Detailed'!CQ101*'Headcount Cost Assumptions'!$E$24+'Business Plan Detailed'!CQ102*'Headcount Cost Assumptions'!$E$25+CQ103*'Headcount Cost Assumptions'!$E$26+CQ104*'Headcount Cost Assumptions'!$E$27+'Business Plan Detailed'!CQ105*'Headcount Cost Assumptions'!$E$28+CQ106*'Headcount Cost Assumptions'!$E$29+'Business Plan Detailed'!CQ107*'Headcount Cost Assumptions'!$E$30</f>
        <v>138320</v>
      </c>
      <c r="CR83" s="355">
        <f>'Business Plan Detailed'!CR85*'Headcount Cost Assumptions'!$E$8+'Business Plan Detailed'!CR86*'Headcount Cost Assumptions'!$E$9+'Business Plan Detailed'!CR87*'Headcount Cost Assumptions'!$E$10+'Business Plan Detailed'!CR88*'Headcount Cost Assumptions'!$E$11+'Business Plan Detailed'!CR89*'Headcount Cost Assumptions'!$E$12+'Business Plan Detailed'!CR90*'Headcount Cost Assumptions'!$E$13+'Business Plan Detailed'!CR91*'Headcount Cost Assumptions'!$E$14+'Business Plan Detailed'!CR92*'Headcount Cost Assumptions'!$E$15+'Business Plan Detailed'!CR93*'Headcount Cost Assumptions'!$E$16+'Business Plan Detailed'!CR94*'Headcount Cost Assumptions'!$E$17+'Business Plan Detailed'!CR95*'Headcount Cost Assumptions'!$E$18+'Business Plan Detailed'!CR96*'Headcount Cost Assumptions'!$E$19+'Business Plan Detailed'!CR97*'Headcount Cost Assumptions'!$E$20+'Business Plan Detailed'!CR98*'Headcount Cost Assumptions'!$E$21+'Business Plan Detailed'!CR99*'Headcount Cost Assumptions'!$E$22+'Business Plan Detailed'!CR100*'Headcount Cost Assumptions'!$E$23+'Business Plan Detailed'!CR101*'Headcount Cost Assumptions'!$E$24+'Business Plan Detailed'!CR102*'Headcount Cost Assumptions'!$E$25+CR103*'Headcount Cost Assumptions'!$E$26+CR104*'Headcount Cost Assumptions'!$E$27+'Business Plan Detailed'!CR105*'Headcount Cost Assumptions'!$E$28+CR106*'Headcount Cost Assumptions'!$E$29+'Business Plan Detailed'!CR107*'Headcount Cost Assumptions'!$E$30</f>
        <v>138320</v>
      </c>
      <c r="CS83" s="355">
        <f>'Business Plan Detailed'!CS85*'Headcount Cost Assumptions'!$E$8+'Business Plan Detailed'!CS86*'Headcount Cost Assumptions'!$E$9+'Business Plan Detailed'!CS87*'Headcount Cost Assumptions'!$E$10+'Business Plan Detailed'!CS88*'Headcount Cost Assumptions'!$E$11+'Business Plan Detailed'!CS89*'Headcount Cost Assumptions'!$E$12+'Business Plan Detailed'!CS90*'Headcount Cost Assumptions'!$E$13+'Business Plan Detailed'!CS91*'Headcount Cost Assumptions'!$E$14+'Business Plan Detailed'!CS92*'Headcount Cost Assumptions'!$E$15+'Business Plan Detailed'!CS93*'Headcount Cost Assumptions'!$E$16+'Business Plan Detailed'!CS94*'Headcount Cost Assumptions'!$E$17+'Business Plan Detailed'!CS95*'Headcount Cost Assumptions'!$E$18+'Business Plan Detailed'!CS96*'Headcount Cost Assumptions'!$E$19+'Business Plan Detailed'!CS97*'Headcount Cost Assumptions'!$E$20+'Business Plan Detailed'!CS98*'Headcount Cost Assumptions'!$E$21+'Business Plan Detailed'!CS99*'Headcount Cost Assumptions'!$E$22+'Business Plan Detailed'!CS100*'Headcount Cost Assumptions'!$E$23+'Business Plan Detailed'!CS101*'Headcount Cost Assumptions'!$E$24+'Business Plan Detailed'!CS102*'Headcount Cost Assumptions'!$E$25+CS103*'Headcount Cost Assumptions'!$E$26+CS104*'Headcount Cost Assumptions'!$E$27+'Business Plan Detailed'!CS105*'Headcount Cost Assumptions'!$E$28+CS106*'Headcount Cost Assumptions'!$E$29+'Business Plan Detailed'!CS107*'Headcount Cost Assumptions'!$E$30</f>
        <v>138320</v>
      </c>
      <c r="CT83" s="355">
        <f>'Business Plan Detailed'!CT85*'Headcount Cost Assumptions'!$E$8+'Business Plan Detailed'!CT86*'Headcount Cost Assumptions'!$E$9+'Business Plan Detailed'!CT87*'Headcount Cost Assumptions'!$E$10+'Business Plan Detailed'!CT88*'Headcount Cost Assumptions'!$E$11+'Business Plan Detailed'!CT89*'Headcount Cost Assumptions'!$E$12+'Business Plan Detailed'!CT90*'Headcount Cost Assumptions'!$E$13+'Business Plan Detailed'!CT91*'Headcount Cost Assumptions'!$E$14+'Business Plan Detailed'!CT92*'Headcount Cost Assumptions'!$E$15+'Business Plan Detailed'!CT93*'Headcount Cost Assumptions'!$E$16+'Business Plan Detailed'!CT94*'Headcount Cost Assumptions'!$E$17+'Business Plan Detailed'!CT95*'Headcount Cost Assumptions'!$E$18+'Business Plan Detailed'!CT96*'Headcount Cost Assumptions'!$E$19+'Business Plan Detailed'!CT97*'Headcount Cost Assumptions'!$E$20+'Business Plan Detailed'!CT98*'Headcount Cost Assumptions'!$E$21+'Business Plan Detailed'!CT99*'Headcount Cost Assumptions'!$E$22+'Business Plan Detailed'!CT100*'Headcount Cost Assumptions'!$E$23+'Business Plan Detailed'!CT101*'Headcount Cost Assumptions'!$E$24+'Business Plan Detailed'!CT102*'Headcount Cost Assumptions'!$E$25+CT103*'Headcount Cost Assumptions'!$E$26+CT104*'Headcount Cost Assumptions'!$E$27+'Business Plan Detailed'!CT105*'Headcount Cost Assumptions'!$E$28+CT106*'Headcount Cost Assumptions'!$E$29+'Business Plan Detailed'!CT107*'Headcount Cost Assumptions'!$E$30</f>
        <v>138320</v>
      </c>
      <c r="CU83" s="355">
        <f>'Business Plan Detailed'!CU85*'Headcount Cost Assumptions'!$E$8+'Business Plan Detailed'!CU86*'Headcount Cost Assumptions'!$E$9+'Business Plan Detailed'!CU87*'Headcount Cost Assumptions'!$E$10+'Business Plan Detailed'!CU88*'Headcount Cost Assumptions'!$E$11+'Business Plan Detailed'!CU89*'Headcount Cost Assumptions'!$E$12+'Business Plan Detailed'!CU90*'Headcount Cost Assumptions'!$E$13+'Business Plan Detailed'!CU91*'Headcount Cost Assumptions'!$E$14+'Business Plan Detailed'!CU92*'Headcount Cost Assumptions'!$E$15+'Business Plan Detailed'!CU93*'Headcount Cost Assumptions'!$E$16+'Business Plan Detailed'!CU94*'Headcount Cost Assumptions'!$E$17+'Business Plan Detailed'!CU95*'Headcount Cost Assumptions'!$E$18+'Business Plan Detailed'!CU96*'Headcount Cost Assumptions'!$E$19+'Business Plan Detailed'!CU97*'Headcount Cost Assumptions'!$E$20+'Business Plan Detailed'!CU98*'Headcount Cost Assumptions'!$E$21+'Business Plan Detailed'!CU99*'Headcount Cost Assumptions'!$E$22+'Business Plan Detailed'!CU100*'Headcount Cost Assumptions'!$E$23+'Business Plan Detailed'!CU101*'Headcount Cost Assumptions'!$E$24+'Business Plan Detailed'!CU102*'Headcount Cost Assumptions'!$E$25+CU103*'Headcount Cost Assumptions'!$E$26+CU104*'Headcount Cost Assumptions'!$E$27+'Business Plan Detailed'!CU105*'Headcount Cost Assumptions'!$E$28+CU106*'Headcount Cost Assumptions'!$E$29+'Business Plan Detailed'!CU107*'Headcount Cost Assumptions'!$E$30</f>
        <v>138320</v>
      </c>
    </row>
    <row r="84" spans="1:100" ht="15.75" customHeight="1" outlineLevel="4">
      <c r="A84" s="347"/>
      <c r="B84" s="28"/>
      <c r="C84" s="85" t="s">
        <v>24</v>
      </c>
      <c r="D84" s="58">
        <f>SUM(D85:D107)</f>
        <v>5</v>
      </c>
      <c r="E84" s="58">
        <f t="shared" ref="E84:BP84" si="77">SUM(E85:E107)</f>
        <v>5</v>
      </c>
      <c r="F84" s="58">
        <f t="shared" si="77"/>
        <v>5</v>
      </c>
      <c r="G84" s="58">
        <f t="shared" si="77"/>
        <v>5</v>
      </c>
      <c r="H84" s="58">
        <f t="shared" si="77"/>
        <v>5</v>
      </c>
      <c r="I84" s="58">
        <f t="shared" si="77"/>
        <v>5</v>
      </c>
      <c r="J84" s="58">
        <f t="shared" si="77"/>
        <v>5</v>
      </c>
      <c r="K84" s="58">
        <f t="shared" si="77"/>
        <v>5</v>
      </c>
      <c r="L84" s="58">
        <f t="shared" si="77"/>
        <v>5</v>
      </c>
      <c r="M84" s="58">
        <f t="shared" si="77"/>
        <v>5</v>
      </c>
      <c r="N84" s="58">
        <f t="shared" si="77"/>
        <v>5</v>
      </c>
      <c r="O84" s="58">
        <f t="shared" si="77"/>
        <v>5</v>
      </c>
      <c r="P84" s="58">
        <f t="shared" si="77"/>
        <v>5</v>
      </c>
      <c r="Q84" s="58">
        <f t="shared" si="77"/>
        <v>5</v>
      </c>
      <c r="R84" s="58">
        <f t="shared" si="77"/>
        <v>5</v>
      </c>
      <c r="S84" s="58">
        <f t="shared" si="77"/>
        <v>5</v>
      </c>
      <c r="T84" s="58">
        <f t="shared" si="77"/>
        <v>5</v>
      </c>
      <c r="U84" s="58">
        <f t="shared" si="77"/>
        <v>5</v>
      </c>
      <c r="V84" s="58">
        <f t="shared" si="77"/>
        <v>5</v>
      </c>
      <c r="W84" s="58">
        <f t="shared" si="77"/>
        <v>5</v>
      </c>
      <c r="X84" s="58">
        <f t="shared" si="77"/>
        <v>5</v>
      </c>
      <c r="Y84" s="58">
        <f t="shared" si="77"/>
        <v>5</v>
      </c>
      <c r="Z84" s="58">
        <f t="shared" si="77"/>
        <v>5</v>
      </c>
      <c r="AA84" s="58">
        <f t="shared" si="77"/>
        <v>5</v>
      </c>
      <c r="AB84" s="58">
        <f t="shared" si="77"/>
        <v>7</v>
      </c>
      <c r="AC84" s="58">
        <f t="shared" si="77"/>
        <v>7</v>
      </c>
      <c r="AD84" s="58">
        <f t="shared" si="77"/>
        <v>7</v>
      </c>
      <c r="AE84" s="58">
        <f t="shared" si="77"/>
        <v>7</v>
      </c>
      <c r="AF84" s="58">
        <f t="shared" si="77"/>
        <v>7</v>
      </c>
      <c r="AG84" s="58">
        <f t="shared" si="77"/>
        <v>7</v>
      </c>
      <c r="AH84" s="58">
        <f t="shared" si="77"/>
        <v>7</v>
      </c>
      <c r="AI84" s="58">
        <f t="shared" si="77"/>
        <v>7</v>
      </c>
      <c r="AJ84" s="58">
        <f t="shared" si="77"/>
        <v>7</v>
      </c>
      <c r="AK84" s="58">
        <f t="shared" si="77"/>
        <v>7</v>
      </c>
      <c r="AL84" s="58">
        <f t="shared" si="77"/>
        <v>9</v>
      </c>
      <c r="AM84" s="58">
        <f t="shared" si="77"/>
        <v>9</v>
      </c>
      <c r="AN84" s="58">
        <f t="shared" si="77"/>
        <v>10</v>
      </c>
      <c r="AO84" s="58">
        <f t="shared" si="77"/>
        <v>10</v>
      </c>
      <c r="AP84" s="58">
        <f t="shared" si="77"/>
        <v>10</v>
      </c>
      <c r="AQ84" s="58">
        <f t="shared" si="77"/>
        <v>10</v>
      </c>
      <c r="AR84" s="58">
        <f t="shared" si="77"/>
        <v>10</v>
      </c>
      <c r="AS84" s="58">
        <f t="shared" si="77"/>
        <v>10</v>
      </c>
      <c r="AT84" s="58">
        <f t="shared" si="77"/>
        <v>10</v>
      </c>
      <c r="AU84" s="58">
        <f t="shared" si="77"/>
        <v>10</v>
      </c>
      <c r="AV84" s="58">
        <f t="shared" si="77"/>
        <v>12</v>
      </c>
      <c r="AW84" s="58">
        <f t="shared" si="77"/>
        <v>12</v>
      </c>
      <c r="AX84" s="58">
        <f t="shared" si="77"/>
        <v>13</v>
      </c>
      <c r="AY84" s="58">
        <f t="shared" si="77"/>
        <v>13</v>
      </c>
      <c r="AZ84" s="58">
        <f t="shared" si="77"/>
        <v>13</v>
      </c>
      <c r="BA84" s="58">
        <f t="shared" si="77"/>
        <v>13</v>
      </c>
      <c r="BB84" s="58">
        <f t="shared" si="77"/>
        <v>13</v>
      </c>
      <c r="BC84" s="58">
        <f t="shared" si="77"/>
        <v>25</v>
      </c>
      <c r="BD84" s="58">
        <f t="shared" si="77"/>
        <v>25</v>
      </c>
      <c r="BE84" s="58">
        <f t="shared" si="77"/>
        <v>25</v>
      </c>
      <c r="BF84" s="58">
        <f t="shared" si="77"/>
        <v>25</v>
      </c>
      <c r="BG84" s="58">
        <f t="shared" si="77"/>
        <v>25</v>
      </c>
      <c r="BH84" s="58">
        <f t="shared" si="77"/>
        <v>25</v>
      </c>
      <c r="BI84" s="58">
        <f t="shared" si="77"/>
        <v>25</v>
      </c>
      <c r="BJ84" s="58">
        <f t="shared" si="77"/>
        <v>25</v>
      </c>
      <c r="BK84" s="58">
        <f t="shared" si="77"/>
        <v>25</v>
      </c>
      <c r="BL84" s="58">
        <f t="shared" si="77"/>
        <v>29</v>
      </c>
      <c r="BM84" s="58">
        <f t="shared" si="77"/>
        <v>33</v>
      </c>
      <c r="BN84" s="58">
        <f t="shared" si="77"/>
        <v>33</v>
      </c>
      <c r="BO84" s="58">
        <f t="shared" si="77"/>
        <v>33</v>
      </c>
      <c r="BP84" s="58">
        <f t="shared" si="77"/>
        <v>33</v>
      </c>
      <c r="BQ84" s="58">
        <f t="shared" ref="BQ84:CU84" si="78">SUM(BQ85:BQ107)</f>
        <v>33</v>
      </c>
      <c r="BR84" s="58">
        <f t="shared" si="78"/>
        <v>33</v>
      </c>
      <c r="BS84" s="58">
        <f t="shared" si="78"/>
        <v>39</v>
      </c>
      <c r="BT84" s="58">
        <f t="shared" si="78"/>
        <v>39</v>
      </c>
      <c r="BU84" s="58">
        <f t="shared" si="78"/>
        <v>39</v>
      </c>
      <c r="BV84" s="58">
        <f t="shared" si="78"/>
        <v>39</v>
      </c>
      <c r="BW84" s="58">
        <f t="shared" si="78"/>
        <v>39</v>
      </c>
      <c r="BX84" s="58">
        <f t="shared" si="78"/>
        <v>39</v>
      </c>
      <c r="BY84" s="58">
        <f t="shared" si="78"/>
        <v>39</v>
      </c>
      <c r="BZ84" s="58">
        <f t="shared" si="78"/>
        <v>39</v>
      </c>
      <c r="CA84" s="58">
        <f t="shared" si="78"/>
        <v>44</v>
      </c>
      <c r="CB84" s="58">
        <f t="shared" si="78"/>
        <v>44</v>
      </c>
      <c r="CC84" s="58">
        <f t="shared" si="78"/>
        <v>44</v>
      </c>
      <c r="CD84" s="58">
        <f t="shared" si="78"/>
        <v>44</v>
      </c>
      <c r="CE84" s="58">
        <f t="shared" si="78"/>
        <v>44</v>
      </c>
      <c r="CF84" s="58">
        <f t="shared" si="78"/>
        <v>44</v>
      </c>
      <c r="CG84" s="58">
        <f t="shared" si="78"/>
        <v>44</v>
      </c>
      <c r="CH84" s="58">
        <f t="shared" si="78"/>
        <v>44</v>
      </c>
      <c r="CI84" s="58">
        <f t="shared" si="78"/>
        <v>49</v>
      </c>
      <c r="CJ84" s="58">
        <f t="shared" si="78"/>
        <v>49</v>
      </c>
      <c r="CK84" s="58">
        <f t="shared" si="78"/>
        <v>49</v>
      </c>
      <c r="CL84" s="58">
        <f t="shared" si="78"/>
        <v>49</v>
      </c>
      <c r="CM84" s="58">
        <f t="shared" si="78"/>
        <v>49</v>
      </c>
      <c r="CN84" s="58">
        <f t="shared" si="78"/>
        <v>49</v>
      </c>
      <c r="CO84" s="58">
        <f t="shared" si="78"/>
        <v>49</v>
      </c>
      <c r="CP84" s="58">
        <f t="shared" si="78"/>
        <v>49</v>
      </c>
      <c r="CQ84" s="58">
        <f t="shared" si="78"/>
        <v>54</v>
      </c>
      <c r="CR84" s="58">
        <f t="shared" si="78"/>
        <v>54</v>
      </c>
      <c r="CS84" s="58">
        <f t="shared" si="78"/>
        <v>54</v>
      </c>
      <c r="CT84" s="58">
        <f t="shared" si="78"/>
        <v>54</v>
      </c>
      <c r="CU84" s="58">
        <f t="shared" si="78"/>
        <v>54</v>
      </c>
    </row>
    <row r="85" spans="1:100" ht="15.75" customHeight="1" outlineLevel="5">
      <c r="A85" s="347"/>
      <c r="B85" s="21"/>
      <c r="C85" s="84" t="s">
        <v>25</v>
      </c>
      <c r="D85" s="360">
        <v>1</v>
      </c>
      <c r="E85" s="360">
        <v>1</v>
      </c>
      <c r="F85" s="360">
        <v>1</v>
      </c>
      <c r="G85" s="360">
        <v>1</v>
      </c>
      <c r="H85" s="360">
        <v>1</v>
      </c>
      <c r="I85" s="360">
        <v>1</v>
      </c>
      <c r="J85" s="360">
        <v>1</v>
      </c>
      <c r="K85" s="360">
        <v>1</v>
      </c>
      <c r="L85" s="360">
        <v>1</v>
      </c>
      <c r="M85" s="360">
        <v>1</v>
      </c>
      <c r="N85" s="360">
        <v>1</v>
      </c>
      <c r="O85" s="360">
        <v>1</v>
      </c>
      <c r="P85" s="360">
        <v>1</v>
      </c>
      <c r="Q85" s="360">
        <v>1</v>
      </c>
      <c r="R85" s="360">
        <v>1</v>
      </c>
      <c r="S85" s="360">
        <v>1</v>
      </c>
      <c r="T85" s="360">
        <v>1</v>
      </c>
      <c r="U85" s="360">
        <v>1</v>
      </c>
      <c r="V85" s="360">
        <v>1</v>
      </c>
      <c r="W85" s="360">
        <v>1</v>
      </c>
      <c r="X85" s="360">
        <v>1</v>
      </c>
      <c r="Y85" s="360">
        <v>1</v>
      </c>
      <c r="Z85" s="360">
        <v>1</v>
      </c>
      <c r="AA85" s="360">
        <v>1</v>
      </c>
      <c r="AB85" s="360">
        <v>1</v>
      </c>
      <c r="AC85" s="360">
        <v>1</v>
      </c>
      <c r="AD85" s="360">
        <v>1</v>
      </c>
      <c r="AE85" s="360">
        <v>1</v>
      </c>
      <c r="AF85" s="360">
        <v>1</v>
      </c>
      <c r="AG85" s="360">
        <v>1</v>
      </c>
      <c r="AH85" s="360">
        <v>1</v>
      </c>
      <c r="AI85" s="360">
        <v>1</v>
      </c>
      <c r="AJ85" s="360">
        <v>1</v>
      </c>
      <c r="AK85" s="360">
        <v>1</v>
      </c>
      <c r="AL85" s="360">
        <v>1</v>
      </c>
      <c r="AM85" s="360">
        <v>1</v>
      </c>
      <c r="AN85" s="360">
        <v>1</v>
      </c>
      <c r="AO85" s="360">
        <v>1</v>
      </c>
      <c r="AP85" s="360">
        <v>1</v>
      </c>
      <c r="AQ85" s="360">
        <v>1</v>
      </c>
      <c r="AR85" s="360">
        <v>1</v>
      </c>
      <c r="AS85" s="360">
        <v>1</v>
      </c>
      <c r="AT85" s="360">
        <v>1</v>
      </c>
      <c r="AU85" s="360">
        <v>1</v>
      </c>
      <c r="AV85" s="360">
        <v>1</v>
      </c>
      <c r="AW85" s="360">
        <v>1</v>
      </c>
      <c r="AX85" s="360">
        <v>1</v>
      </c>
      <c r="AY85" s="360">
        <v>1</v>
      </c>
      <c r="AZ85" s="361">
        <v>1</v>
      </c>
      <c r="BA85" s="362">
        <v>1</v>
      </c>
      <c r="BB85" s="362">
        <v>1</v>
      </c>
      <c r="BC85" s="362">
        <v>1</v>
      </c>
      <c r="BD85" s="362">
        <v>1</v>
      </c>
      <c r="BE85" s="362">
        <v>1</v>
      </c>
      <c r="BF85" s="362">
        <v>1</v>
      </c>
      <c r="BG85" s="362">
        <v>1</v>
      </c>
      <c r="BH85" s="362">
        <v>1</v>
      </c>
      <c r="BI85" s="362">
        <v>1</v>
      </c>
      <c r="BJ85" s="362">
        <v>1</v>
      </c>
      <c r="BK85" s="362">
        <v>1</v>
      </c>
      <c r="BL85" s="362">
        <v>1</v>
      </c>
      <c r="BM85" s="362">
        <v>1</v>
      </c>
      <c r="BN85" s="362">
        <v>1</v>
      </c>
      <c r="BO85" s="362">
        <v>1</v>
      </c>
      <c r="BP85" s="362">
        <v>1</v>
      </c>
      <c r="BQ85" s="362">
        <v>1</v>
      </c>
      <c r="BR85" s="362">
        <v>1</v>
      </c>
      <c r="BS85" s="362">
        <v>1</v>
      </c>
      <c r="BT85" s="362">
        <v>1</v>
      </c>
      <c r="BU85" s="362">
        <v>1</v>
      </c>
      <c r="BV85" s="362">
        <v>1</v>
      </c>
      <c r="BW85" s="362">
        <v>1</v>
      </c>
      <c r="BX85" s="362">
        <v>1</v>
      </c>
      <c r="BY85" s="362">
        <v>1</v>
      </c>
      <c r="BZ85" s="362">
        <v>1</v>
      </c>
      <c r="CA85" s="362">
        <v>1</v>
      </c>
      <c r="CB85" s="362">
        <v>1</v>
      </c>
      <c r="CC85" s="362">
        <v>1</v>
      </c>
      <c r="CD85" s="362">
        <v>1</v>
      </c>
      <c r="CE85" s="362">
        <v>1</v>
      </c>
      <c r="CF85" s="362">
        <v>1</v>
      </c>
      <c r="CG85" s="362">
        <v>1</v>
      </c>
      <c r="CH85" s="362">
        <v>1</v>
      </c>
      <c r="CI85" s="362">
        <v>1</v>
      </c>
      <c r="CJ85" s="362">
        <v>1</v>
      </c>
      <c r="CK85" s="362">
        <v>1</v>
      </c>
      <c r="CL85" s="362">
        <v>1</v>
      </c>
      <c r="CM85" s="362">
        <v>1</v>
      </c>
      <c r="CN85" s="362">
        <v>1</v>
      </c>
      <c r="CO85" s="362">
        <v>1</v>
      </c>
      <c r="CP85" s="362">
        <v>1</v>
      </c>
      <c r="CQ85" s="362">
        <v>1</v>
      </c>
      <c r="CR85" s="362">
        <v>1</v>
      </c>
      <c r="CS85" s="362">
        <v>1</v>
      </c>
      <c r="CT85" s="362">
        <v>1</v>
      </c>
      <c r="CU85" s="362">
        <v>1</v>
      </c>
    </row>
    <row r="86" spans="1:100" ht="15.75" customHeight="1" outlineLevel="5">
      <c r="A86" s="347"/>
      <c r="B86" s="21"/>
      <c r="C86" s="84" t="s">
        <v>26</v>
      </c>
      <c r="D86" s="360">
        <v>1</v>
      </c>
      <c r="E86" s="360">
        <v>1</v>
      </c>
      <c r="F86" s="360">
        <v>1</v>
      </c>
      <c r="G86" s="360">
        <v>1</v>
      </c>
      <c r="H86" s="360">
        <v>1</v>
      </c>
      <c r="I86" s="360">
        <v>1</v>
      </c>
      <c r="J86" s="360">
        <v>1</v>
      </c>
      <c r="K86" s="360">
        <v>1</v>
      </c>
      <c r="L86" s="360">
        <v>1</v>
      </c>
      <c r="M86" s="360">
        <v>1</v>
      </c>
      <c r="N86" s="360">
        <v>1</v>
      </c>
      <c r="O86" s="360">
        <v>1</v>
      </c>
      <c r="P86" s="360">
        <v>1</v>
      </c>
      <c r="Q86" s="360">
        <v>1</v>
      </c>
      <c r="R86" s="360">
        <v>1</v>
      </c>
      <c r="S86" s="360">
        <v>1</v>
      </c>
      <c r="T86" s="360">
        <v>1</v>
      </c>
      <c r="U86" s="360">
        <v>1</v>
      </c>
      <c r="V86" s="360">
        <v>1</v>
      </c>
      <c r="W86" s="360">
        <v>1</v>
      </c>
      <c r="X86" s="360">
        <v>1</v>
      </c>
      <c r="Y86" s="360">
        <v>1</v>
      </c>
      <c r="Z86" s="360">
        <v>1</v>
      </c>
      <c r="AA86" s="360">
        <v>1</v>
      </c>
      <c r="AB86" s="360">
        <v>1</v>
      </c>
      <c r="AC86" s="360">
        <v>1</v>
      </c>
      <c r="AD86" s="360">
        <v>1</v>
      </c>
      <c r="AE86" s="360">
        <v>1</v>
      </c>
      <c r="AF86" s="360">
        <v>1</v>
      </c>
      <c r="AG86" s="360">
        <v>1</v>
      </c>
      <c r="AH86" s="360">
        <v>1</v>
      </c>
      <c r="AI86" s="360">
        <v>1</v>
      </c>
      <c r="AJ86" s="360">
        <v>1</v>
      </c>
      <c r="AK86" s="360">
        <v>1</v>
      </c>
      <c r="AL86" s="360">
        <v>1</v>
      </c>
      <c r="AM86" s="360">
        <v>1</v>
      </c>
      <c r="AN86" s="360">
        <v>1</v>
      </c>
      <c r="AO86" s="360">
        <v>1</v>
      </c>
      <c r="AP86" s="360">
        <v>1</v>
      </c>
      <c r="AQ86" s="360">
        <v>1</v>
      </c>
      <c r="AR86" s="360">
        <v>1</v>
      </c>
      <c r="AS86" s="360">
        <v>1</v>
      </c>
      <c r="AT86" s="360">
        <v>1</v>
      </c>
      <c r="AU86" s="360">
        <v>1</v>
      </c>
      <c r="AV86" s="360">
        <v>1</v>
      </c>
      <c r="AW86" s="360">
        <v>1</v>
      </c>
      <c r="AX86" s="360">
        <v>1</v>
      </c>
      <c r="AY86" s="360">
        <v>1</v>
      </c>
      <c r="AZ86" s="361">
        <v>1</v>
      </c>
      <c r="BA86" s="362">
        <v>1</v>
      </c>
      <c r="BB86" s="362">
        <v>1</v>
      </c>
      <c r="BC86" s="362">
        <v>1</v>
      </c>
      <c r="BD86" s="362">
        <v>1</v>
      </c>
      <c r="BE86" s="362">
        <v>1</v>
      </c>
      <c r="BF86" s="362">
        <v>1</v>
      </c>
      <c r="BG86" s="362">
        <v>1</v>
      </c>
      <c r="BH86" s="362">
        <v>1</v>
      </c>
      <c r="BI86" s="362">
        <v>1</v>
      </c>
      <c r="BJ86" s="362">
        <v>1</v>
      </c>
      <c r="BK86" s="362">
        <v>1</v>
      </c>
      <c r="BL86" s="362">
        <v>1</v>
      </c>
      <c r="BM86" s="362">
        <v>1</v>
      </c>
      <c r="BN86" s="362">
        <v>1</v>
      </c>
      <c r="BO86" s="362">
        <v>1</v>
      </c>
      <c r="BP86" s="362">
        <v>1</v>
      </c>
      <c r="BQ86" s="362">
        <v>1</v>
      </c>
      <c r="BR86" s="362">
        <v>1</v>
      </c>
      <c r="BS86" s="362">
        <v>1</v>
      </c>
      <c r="BT86" s="362">
        <v>1</v>
      </c>
      <c r="BU86" s="362">
        <v>1</v>
      </c>
      <c r="BV86" s="362">
        <v>1</v>
      </c>
      <c r="BW86" s="362">
        <v>1</v>
      </c>
      <c r="BX86" s="362">
        <v>1</v>
      </c>
      <c r="BY86" s="362">
        <v>1</v>
      </c>
      <c r="BZ86" s="362">
        <v>1</v>
      </c>
      <c r="CA86" s="362">
        <v>1</v>
      </c>
      <c r="CB86" s="362">
        <v>1</v>
      </c>
      <c r="CC86" s="362">
        <v>1</v>
      </c>
      <c r="CD86" s="362">
        <v>1</v>
      </c>
      <c r="CE86" s="362">
        <v>1</v>
      </c>
      <c r="CF86" s="362">
        <v>1</v>
      </c>
      <c r="CG86" s="362">
        <v>1</v>
      </c>
      <c r="CH86" s="362">
        <v>1</v>
      </c>
      <c r="CI86" s="362">
        <v>1</v>
      </c>
      <c r="CJ86" s="362">
        <v>1</v>
      </c>
      <c r="CK86" s="362">
        <v>1</v>
      </c>
      <c r="CL86" s="362">
        <v>1</v>
      </c>
      <c r="CM86" s="362">
        <v>1</v>
      </c>
      <c r="CN86" s="362">
        <v>1</v>
      </c>
      <c r="CO86" s="362">
        <v>1</v>
      </c>
      <c r="CP86" s="362">
        <v>1</v>
      </c>
      <c r="CQ86" s="362">
        <v>1</v>
      </c>
      <c r="CR86" s="362">
        <v>1</v>
      </c>
      <c r="CS86" s="362">
        <v>1</v>
      </c>
      <c r="CT86" s="362">
        <v>1</v>
      </c>
      <c r="CU86" s="362">
        <v>1</v>
      </c>
    </row>
    <row r="87" spans="1:100" ht="15.75" customHeight="1" outlineLevel="5">
      <c r="A87" s="347"/>
      <c r="B87" s="21"/>
      <c r="C87" s="84" t="s">
        <v>27</v>
      </c>
      <c r="D87" s="360">
        <v>1</v>
      </c>
      <c r="E87" s="360">
        <v>1</v>
      </c>
      <c r="F87" s="360">
        <v>1</v>
      </c>
      <c r="G87" s="360">
        <v>1</v>
      </c>
      <c r="H87" s="360">
        <v>1</v>
      </c>
      <c r="I87" s="360">
        <v>1</v>
      </c>
      <c r="J87" s="360">
        <v>1</v>
      </c>
      <c r="K87" s="360">
        <v>1</v>
      </c>
      <c r="L87" s="360">
        <v>1</v>
      </c>
      <c r="M87" s="360">
        <v>1</v>
      </c>
      <c r="N87" s="360">
        <v>1</v>
      </c>
      <c r="O87" s="360">
        <v>1</v>
      </c>
      <c r="P87" s="360">
        <v>1</v>
      </c>
      <c r="Q87" s="360">
        <v>1</v>
      </c>
      <c r="R87" s="360">
        <v>1</v>
      </c>
      <c r="S87" s="360">
        <v>1</v>
      </c>
      <c r="T87" s="360">
        <v>1</v>
      </c>
      <c r="U87" s="360">
        <v>1</v>
      </c>
      <c r="V87" s="360">
        <v>1</v>
      </c>
      <c r="W87" s="360">
        <v>1</v>
      </c>
      <c r="X87" s="360">
        <v>1</v>
      </c>
      <c r="Y87" s="360">
        <v>1</v>
      </c>
      <c r="Z87" s="360">
        <v>1</v>
      </c>
      <c r="AA87" s="360">
        <v>1</v>
      </c>
      <c r="AB87" s="360">
        <v>1</v>
      </c>
      <c r="AC87" s="360">
        <v>1</v>
      </c>
      <c r="AD87" s="360">
        <v>1</v>
      </c>
      <c r="AE87" s="360">
        <v>1</v>
      </c>
      <c r="AF87" s="360">
        <v>1</v>
      </c>
      <c r="AG87" s="360">
        <v>1</v>
      </c>
      <c r="AH87" s="360">
        <v>1</v>
      </c>
      <c r="AI87" s="360">
        <v>1</v>
      </c>
      <c r="AJ87" s="360">
        <v>1</v>
      </c>
      <c r="AK87" s="360">
        <v>1</v>
      </c>
      <c r="AL87" s="360">
        <v>1</v>
      </c>
      <c r="AM87" s="360">
        <v>1</v>
      </c>
      <c r="AN87" s="360">
        <v>1</v>
      </c>
      <c r="AO87" s="360">
        <v>1</v>
      </c>
      <c r="AP87" s="360">
        <v>1</v>
      </c>
      <c r="AQ87" s="360">
        <v>1</v>
      </c>
      <c r="AR87" s="360">
        <v>1</v>
      </c>
      <c r="AS87" s="360">
        <v>1</v>
      </c>
      <c r="AT87" s="360">
        <v>1</v>
      </c>
      <c r="AU87" s="360">
        <v>1</v>
      </c>
      <c r="AV87" s="360">
        <v>1</v>
      </c>
      <c r="AW87" s="360">
        <v>1</v>
      </c>
      <c r="AX87" s="360">
        <v>1</v>
      </c>
      <c r="AY87" s="360">
        <v>1</v>
      </c>
      <c r="AZ87" s="361">
        <v>1</v>
      </c>
      <c r="BA87" s="362">
        <v>1</v>
      </c>
      <c r="BB87" s="362">
        <v>1</v>
      </c>
      <c r="BC87" s="362">
        <v>2</v>
      </c>
      <c r="BD87" s="362">
        <v>2</v>
      </c>
      <c r="BE87" s="362">
        <v>2</v>
      </c>
      <c r="BF87" s="362">
        <v>2</v>
      </c>
      <c r="BG87" s="362">
        <v>2</v>
      </c>
      <c r="BH87" s="362">
        <v>2</v>
      </c>
      <c r="BI87" s="362">
        <v>2</v>
      </c>
      <c r="BJ87" s="362">
        <v>2</v>
      </c>
      <c r="BK87" s="362">
        <v>2</v>
      </c>
      <c r="BL87" s="362">
        <v>2</v>
      </c>
      <c r="BM87" s="362">
        <v>2</v>
      </c>
      <c r="BN87" s="362">
        <v>2</v>
      </c>
      <c r="BO87" s="362">
        <v>2</v>
      </c>
      <c r="BP87" s="362">
        <v>2</v>
      </c>
      <c r="BQ87" s="362">
        <v>2</v>
      </c>
      <c r="BR87" s="362">
        <v>2</v>
      </c>
      <c r="BS87" s="362">
        <v>2</v>
      </c>
      <c r="BT87" s="362">
        <v>2</v>
      </c>
      <c r="BU87" s="362">
        <v>2</v>
      </c>
      <c r="BV87" s="362">
        <v>2</v>
      </c>
      <c r="BW87" s="362">
        <v>2</v>
      </c>
      <c r="BX87" s="362">
        <v>2</v>
      </c>
      <c r="BY87" s="362">
        <v>2</v>
      </c>
      <c r="BZ87" s="362">
        <v>2</v>
      </c>
      <c r="CA87" s="362">
        <v>2</v>
      </c>
      <c r="CB87" s="362">
        <v>2</v>
      </c>
      <c r="CC87" s="362">
        <v>2</v>
      </c>
      <c r="CD87" s="362">
        <v>2</v>
      </c>
      <c r="CE87" s="362">
        <v>2</v>
      </c>
      <c r="CF87" s="362">
        <v>2</v>
      </c>
      <c r="CG87" s="362">
        <v>2</v>
      </c>
      <c r="CH87" s="362">
        <v>2</v>
      </c>
      <c r="CI87" s="362">
        <v>2</v>
      </c>
      <c r="CJ87" s="362">
        <v>2</v>
      </c>
      <c r="CK87" s="362">
        <v>2</v>
      </c>
      <c r="CL87" s="362">
        <v>2</v>
      </c>
      <c r="CM87" s="362">
        <v>2</v>
      </c>
      <c r="CN87" s="362">
        <v>2</v>
      </c>
      <c r="CO87" s="362">
        <v>2</v>
      </c>
      <c r="CP87" s="362">
        <v>2</v>
      </c>
      <c r="CQ87" s="362">
        <v>2</v>
      </c>
      <c r="CR87" s="362">
        <v>2</v>
      </c>
      <c r="CS87" s="362">
        <v>2</v>
      </c>
      <c r="CT87" s="362">
        <v>2</v>
      </c>
      <c r="CU87" s="362">
        <v>2</v>
      </c>
    </row>
    <row r="88" spans="1:100" ht="15.75" customHeight="1" outlineLevel="5">
      <c r="A88" s="347"/>
      <c r="B88" s="21"/>
      <c r="C88" s="84" t="s">
        <v>28</v>
      </c>
      <c r="D88" s="360">
        <v>1</v>
      </c>
      <c r="E88" s="360">
        <v>1</v>
      </c>
      <c r="F88" s="360">
        <v>1</v>
      </c>
      <c r="G88" s="360">
        <v>1</v>
      </c>
      <c r="H88" s="360">
        <v>1</v>
      </c>
      <c r="I88" s="360">
        <v>1</v>
      </c>
      <c r="J88" s="360">
        <v>1</v>
      </c>
      <c r="K88" s="360">
        <v>1</v>
      </c>
      <c r="L88" s="360">
        <v>1</v>
      </c>
      <c r="M88" s="360">
        <v>1</v>
      </c>
      <c r="N88" s="360">
        <v>1</v>
      </c>
      <c r="O88" s="360">
        <v>1</v>
      </c>
      <c r="P88" s="360">
        <v>1</v>
      </c>
      <c r="Q88" s="360">
        <v>1</v>
      </c>
      <c r="R88" s="360">
        <v>1</v>
      </c>
      <c r="S88" s="360">
        <v>1</v>
      </c>
      <c r="T88" s="360">
        <v>1</v>
      </c>
      <c r="U88" s="360">
        <v>1</v>
      </c>
      <c r="V88" s="360">
        <v>1</v>
      </c>
      <c r="W88" s="360">
        <v>1</v>
      </c>
      <c r="X88" s="360">
        <v>1</v>
      </c>
      <c r="Y88" s="360">
        <v>1</v>
      </c>
      <c r="Z88" s="360">
        <v>1</v>
      </c>
      <c r="AA88" s="360">
        <v>1</v>
      </c>
      <c r="AB88" s="360">
        <v>1</v>
      </c>
      <c r="AC88" s="360">
        <v>1</v>
      </c>
      <c r="AD88" s="360">
        <v>1</v>
      </c>
      <c r="AE88" s="360">
        <v>1</v>
      </c>
      <c r="AF88" s="360">
        <v>1</v>
      </c>
      <c r="AG88" s="360">
        <v>1</v>
      </c>
      <c r="AH88" s="360">
        <v>1</v>
      </c>
      <c r="AI88" s="360">
        <v>1</v>
      </c>
      <c r="AJ88" s="360">
        <v>1</v>
      </c>
      <c r="AK88" s="360">
        <v>1</v>
      </c>
      <c r="AL88" s="360">
        <v>1</v>
      </c>
      <c r="AM88" s="360">
        <v>1</v>
      </c>
      <c r="AN88" s="360">
        <v>1</v>
      </c>
      <c r="AO88" s="360">
        <v>1</v>
      </c>
      <c r="AP88" s="360">
        <v>1</v>
      </c>
      <c r="AQ88" s="360">
        <v>1</v>
      </c>
      <c r="AR88" s="360">
        <v>1</v>
      </c>
      <c r="AS88" s="360">
        <v>1</v>
      </c>
      <c r="AT88" s="360">
        <v>1</v>
      </c>
      <c r="AU88" s="360">
        <v>1</v>
      </c>
      <c r="AV88" s="360">
        <v>1</v>
      </c>
      <c r="AW88" s="360">
        <v>1</v>
      </c>
      <c r="AX88" s="360">
        <v>1</v>
      </c>
      <c r="AY88" s="360">
        <v>1</v>
      </c>
      <c r="AZ88" s="361">
        <v>1</v>
      </c>
      <c r="BA88" s="362">
        <v>1</v>
      </c>
      <c r="BB88" s="362">
        <v>1</v>
      </c>
      <c r="BC88" s="362">
        <v>2</v>
      </c>
      <c r="BD88" s="362">
        <v>2</v>
      </c>
      <c r="BE88" s="362">
        <v>2</v>
      </c>
      <c r="BF88" s="362">
        <v>2</v>
      </c>
      <c r="BG88" s="362">
        <v>2</v>
      </c>
      <c r="BH88" s="362">
        <v>2</v>
      </c>
      <c r="BI88" s="362">
        <v>2</v>
      </c>
      <c r="BJ88" s="362">
        <v>2</v>
      </c>
      <c r="BK88" s="362">
        <v>2</v>
      </c>
      <c r="BL88" s="362">
        <v>2</v>
      </c>
      <c r="BM88" s="362">
        <v>2</v>
      </c>
      <c r="BN88" s="362">
        <v>2</v>
      </c>
      <c r="BO88" s="362">
        <v>2</v>
      </c>
      <c r="BP88" s="362">
        <v>2</v>
      </c>
      <c r="BQ88" s="362">
        <v>2</v>
      </c>
      <c r="BR88" s="362">
        <v>2</v>
      </c>
      <c r="BS88" s="362">
        <v>2</v>
      </c>
      <c r="BT88" s="362">
        <v>2</v>
      </c>
      <c r="BU88" s="362">
        <v>2</v>
      </c>
      <c r="BV88" s="362">
        <v>2</v>
      </c>
      <c r="BW88" s="362">
        <v>2</v>
      </c>
      <c r="BX88" s="362">
        <v>2</v>
      </c>
      <c r="BY88" s="362">
        <v>2</v>
      </c>
      <c r="BZ88" s="362">
        <v>2</v>
      </c>
      <c r="CA88" s="362">
        <v>2</v>
      </c>
      <c r="CB88" s="362">
        <v>2</v>
      </c>
      <c r="CC88" s="362">
        <v>2</v>
      </c>
      <c r="CD88" s="362">
        <v>2</v>
      </c>
      <c r="CE88" s="362">
        <v>2</v>
      </c>
      <c r="CF88" s="362">
        <v>2</v>
      </c>
      <c r="CG88" s="362">
        <v>2</v>
      </c>
      <c r="CH88" s="362">
        <v>2</v>
      </c>
      <c r="CI88" s="362">
        <v>2</v>
      </c>
      <c r="CJ88" s="362">
        <v>2</v>
      </c>
      <c r="CK88" s="362">
        <v>2</v>
      </c>
      <c r="CL88" s="362">
        <v>2</v>
      </c>
      <c r="CM88" s="362">
        <v>2</v>
      </c>
      <c r="CN88" s="362">
        <v>2</v>
      </c>
      <c r="CO88" s="362">
        <v>2</v>
      </c>
      <c r="CP88" s="362">
        <v>2</v>
      </c>
      <c r="CQ88" s="362">
        <v>2</v>
      </c>
      <c r="CR88" s="362">
        <v>2</v>
      </c>
      <c r="CS88" s="362">
        <v>2</v>
      </c>
      <c r="CT88" s="362">
        <v>2</v>
      </c>
      <c r="CU88" s="362">
        <v>2</v>
      </c>
    </row>
    <row r="89" spans="1:100" ht="15.75" customHeight="1" outlineLevel="5">
      <c r="A89" s="347"/>
      <c r="B89" s="21"/>
      <c r="C89" s="84" t="s">
        <v>56</v>
      </c>
      <c r="D89" s="360">
        <v>1</v>
      </c>
      <c r="E89" s="360">
        <v>1</v>
      </c>
      <c r="F89" s="360">
        <v>1</v>
      </c>
      <c r="G89" s="360">
        <v>1</v>
      </c>
      <c r="H89" s="360">
        <v>1</v>
      </c>
      <c r="I89" s="360">
        <v>1</v>
      </c>
      <c r="J89" s="360">
        <v>1</v>
      </c>
      <c r="K89" s="360">
        <v>1</v>
      </c>
      <c r="L89" s="360">
        <v>1</v>
      </c>
      <c r="M89" s="360">
        <v>1</v>
      </c>
      <c r="N89" s="360">
        <v>1</v>
      </c>
      <c r="O89" s="360">
        <v>1</v>
      </c>
      <c r="P89" s="360">
        <v>1</v>
      </c>
      <c r="Q89" s="360">
        <v>1</v>
      </c>
      <c r="R89" s="360">
        <v>1</v>
      </c>
      <c r="S89" s="360">
        <v>1</v>
      </c>
      <c r="T89" s="360">
        <v>1</v>
      </c>
      <c r="U89" s="360">
        <v>1</v>
      </c>
      <c r="V89" s="360">
        <v>1</v>
      </c>
      <c r="W89" s="360">
        <v>1</v>
      </c>
      <c r="X89" s="360">
        <v>1</v>
      </c>
      <c r="Y89" s="360">
        <v>1</v>
      </c>
      <c r="Z89" s="360">
        <v>1</v>
      </c>
      <c r="AA89" s="360">
        <v>1</v>
      </c>
      <c r="AB89" s="360">
        <v>1</v>
      </c>
      <c r="AC89" s="360">
        <v>1</v>
      </c>
      <c r="AD89" s="360">
        <v>1</v>
      </c>
      <c r="AE89" s="360">
        <v>1</v>
      </c>
      <c r="AF89" s="360">
        <v>1</v>
      </c>
      <c r="AG89" s="360">
        <v>1</v>
      </c>
      <c r="AH89" s="360">
        <v>1</v>
      </c>
      <c r="AI89" s="360">
        <v>1</v>
      </c>
      <c r="AJ89" s="360">
        <v>1</v>
      </c>
      <c r="AK89" s="360">
        <v>1</v>
      </c>
      <c r="AL89" s="360">
        <v>1</v>
      </c>
      <c r="AM89" s="360">
        <v>1</v>
      </c>
      <c r="AN89" s="360">
        <v>1</v>
      </c>
      <c r="AO89" s="360">
        <v>1</v>
      </c>
      <c r="AP89" s="360">
        <v>1</v>
      </c>
      <c r="AQ89" s="360">
        <v>1</v>
      </c>
      <c r="AR89" s="360">
        <v>1</v>
      </c>
      <c r="AS89" s="360">
        <v>1</v>
      </c>
      <c r="AT89" s="360">
        <v>1</v>
      </c>
      <c r="AU89" s="360">
        <v>1</v>
      </c>
      <c r="AV89" s="360">
        <v>1</v>
      </c>
      <c r="AW89" s="360">
        <v>1</v>
      </c>
      <c r="AX89" s="360">
        <v>1</v>
      </c>
      <c r="AY89" s="360">
        <v>1</v>
      </c>
      <c r="AZ89" s="360">
        <v>1</v>
      </c>
      <c r="BA89" s="360">
        <v>1</v>
      </c>
      <c r="BB89" s="360">
        <v>1</v>
      </c>
      <c r="BC89" s="360">
        <v>1</v>
      </c>
      <c r="BD89" s="360">
        <v>1</v>
      </c>
      <c r="BE89" s="360">
        <v>1</v>
      </c>
      <c r="BF89" s="360">
        <v>1</v>
      </c>
      <c r="BG89" s="360">
        <v>1</v>
      </c>
      <c r="BH89" s="360">
        <v>1</v>
      </c>
      <c r="BI89" s="360">
        <v>1</v>
      </c>
      <c r="BJ89" s="360">
        <v>1</v>
      </c>
      <c r="BK89" s="360">
        <v>1</v>
      </c>
      <c r="BL89" s="360">
        <v>1</v>
      </c>
      <c r="BM89" s="360">
        <v>1</v>
      </c>
      <c r="BN89" s="360">
        <v>1</v>
      </c>
      <c r="BO89" s="360">
        <v>1</v>
      </c>
      <c r="BP89" s="360">
        <v>1</v>
      </c>
      <c r="BQ89" s="360">
        <v>1</v>
      </c>
      <c r="BR89" s="360">
        <v>1</v>
      </c>
      <c r="BS89" s="360">
        <v>1</v>
      </c>
      <c r="BT89" s="360">
        <v>1</v>
      </c>
      <c r="BU89" s="360">
        <v>1</v>
      </c>
      <c r="BV89" s="360">
        <v>1</v>
      </c>
      <c r="BW89" s="360">
        <v>1</v>
      </c>
      <c r="BX89" s="360">
        <v>1</v>
      </c>
      <c r="BY89" s="360">
        <v>1</v>
      </c>
      <c r="BZ89" s="360">
        <v>1</v>
      </c>
      <c r="CA89" s="360">
        <v>1</v>
      </c>
      <c r="CB89" s="360">
        <v>1</v>
      </c>
      <c r="CC89" s="360">
        <v>1</v>
      </c>
      <c r="CD89" s="360">
        <v>1</v>
      </c>
      <c r="CE89" s="360">
        <v>1</v>
      </c>
      <c r="CF89" s="360">
        <v>1</v>
      </c>
      <c r="CG89" s="360">
        <v>1</v>
      </c>
      <c r="CH89" s="360">
        <v>1</v>
      </c>
      <c r="CI89" s="360">
        <v>1</v>
      </c>
      <c r="CJ89" s="360">
        <v>1</v>
      </c>
      <c r="CK89" s="360">
        <v>1</v>
      </c>
      <c r="CL89" s="360">
        <v>1</v>
      </c>
      <c r="CM89" s="360">
        <v>1</v>
      </c>
      <c r="CN89" s="360">
        <v>1</v>
      </c>
      <c r="CO89" s="360">
        <v>1</v>
      </c>
      <c r="CP89" s="360">
        <v>1</v>
      </c>
      <c r="CQ89" s="360">
        <v>1</v>
      </c>
      <c r="CR89" s="360">
        <v>1</v>
      </c>
      <c r="CS89" s="360">
        <v>1</v>
      </c>
      <c r="CT89" s="360">
        <v>1</v>
      </c>
      <c r="CU89" s="360">
        <v>1</v>
      </c>
    </row>
    <row r="90" spans="1:100" ht="15.75" customHeight="1" outlineLevel="5">
      <c r="A90" s="347"/>
      <c r="B90" s="21"/>
      <c r="C90" s="84" t="s">
        <v>30</v>
      </c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>
        <v>1</v>
      </c>
      <c r="AC90" s="360">
        <v>1</v>
      </c>
      <c r="AD90" s="360">
        <v>1</v>
      </c>
      <c r="AE90" s="360">
        <v>1</v>
      </c>
      <c r="AF90" s="360">
        <v>1</v>
      </c>
      <c r="AG90" s="360">
        <v>1</v>
      </c>
      <c r="AH90" s="360">
        <v>1</v>
      </c>
      <c r="AI90" s="360">
        <v>1</v>
      </c>
      <c r="AJ90" s="360">
        <v>1</v>
      </c>
      <c r="AK90" s="360">
        <v>1</v>
      </c>
      <c r="AL90" s="360">
        <v>1</v>
      </c>
      <c r="AM90" s="360">
        <v>1</v>
      </c>
      <c r="AN90" s="360">
        <v>1</v>
      </c>
      <c r="AO90" s="360">
        <v>1</v>
      </c>
      <c r="AP90" s="360">
        <v>1</v>
      </c>
      <c r="AQ90" s="360">
        <v>1</v>
      </c>
      <c r="AR90" s="360">
        <v>1</v>
      </c>
      <c r="AS90" s="360">
        <v>1</v>
      </c>
      <c r="AT90" s="360">
        <v>1</v>
      </c>
      <c r="AU90" s="360">
        <v>1</v>
      </c>
      <c r="AV90" s="360">
        <v>1</v>
      </c>
      <c r="AW90" s="360">
        <v>1</v>
      </c>
      <c r="AX90" s="360">
        <v>1</v>
      </c>
      <c r="AY90" s="360">
        <v>1</v>
      </c>
      <c r="AZ90" s="360">
        <v>1</v>
      </c>
      <c r="BA90" s="360">
        <v>1</v>
      </c>
      <c r="BB90" s="360">
        <v>1</v>
      </c>
      <c r="BC90" s="360">
        <v>2</v>
      </c>
      <c r="BD90" s="360">
        <v>2</v>
      </c>
      <c r="BE90" s="360">
        <v>2</v>
      </c>
      <c r="BF90" s="360">
        <v>2</v>
      </c>
      <c r="BG90" s="360">
        <v>2</v>
      </c>
      <c r="BH90" s="360">
        <v>2</v>
      </c>
      <c r="BI90" s="360">
        <v>2</v>
      </c>
      <c r="BJ90" s="360">
        <v>2</v>
      </c>
      <c r="BK90" s="360">
        <v>2</v>
      </c>
      <c r="BL90" s="360">
        <v>2</v>
      </c>
      <c r="BM90" s="360">
        <v>2</v>
      </c>
      <c r="BN90" s="360">
        <v>2</v>
      </c>
      <c r="BO90" s="360">
        <v>2</v>
      </c>
      <c r="BP90" s="360">
        <v>2</v>
      </c>
      <c r="BQ90" s="360">
        <v>2</v>
      </c>
      <c r="BR90" s="360">
        <v>2</v>
      </c>
      <c r="BS90" s="360">
        <v>2</v>
      </c>
      <c r="BT90" s="360">
        <v>2</v>
      </c>
      <c r="BU90" s="360">
        <v>2</v>
      </c>
      <c r="BV90" s="360">
        <v>2</v>
      </c>
      <c r="BW90" s="360">
        <v>2</v>
      </c>
      <c r="BX90" s="360">
        <v>2</v>
      </c>
      <c r="BY90" s="360">
        <v>2</v>
      </c>
      <c r="BZ90" s="360">
        <v>2</v>
      </c>
      <c r="CA90" s="360">
        <v>2</v>
      </c>
      <c r="CB90" s="360">
        <v>2</v>
      </c>
      <c r="CC90" s="360">
        <v>2</v>
      </c>
      <c r="CD90" s="360">
        <v>2</v>
      </c>
      <c r="CE90" s="360">
        <v>2</v>
      </c>
      <c r="CF90" s="360">
        <v>2</v>
      </c>
      <c r="CG90" s="360">
        <v>2</v>
      </c>
      <c r="CH90" s="360">
        <v>2</v>
      </c>
      <c r="CI90" s="360">
        <v>2</v>
      </c>
      <c r="CJ90" s="360">
        <v>2</v>
      </c>
      <c r="CK90" s="360">
        <v>2</v>
      </c>
      <c r="CL90" s="360">
        <v>2</v>
      </c>
      <c r="CM90" s="360">
        <v>2</v>
      </c>
      <c r="CN90" s="360">
        <v>2</v>
      </c>
      <c r="CO90" s="360">
        <v>2</v>
      </c>
      <c r="CP90" s="360">
        <v>2</v>
      </c>
      <c r="CQ90" s="360">
        <v>2</v>
      </c>
      <c r="CR90" s="360">
        <v>2</v>
      </c>
      <c r="CS90" s="360">
        <v>2</v>
      </c>
      <c r="CT90" s="360">
        <v>2</v>
      </c>
      <c r="CU90" s="360">
        <v>2</v>
      </c>
    </row>
    <row r="91" spans="1:100" ht="15.75" customHeight="1" outlineLevel="5">
      <c r="A91" s="347"/>
      <c r="B91" s="21"/>
      <c r="C91" s="84" t="s">
        <v>31</v>
      </c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>
        <v>1</v>
      </c>
      <c r="AC91" s="360">
        <v>1</v>
      </c>
      <c r="AD91" s="360">
        <v>1</v>
      </c>
      <c r="AE91" s="360">
        <v>1</v>
      </c>
      <c r="AF91" s="360">
        <v>1</v>
      </c>
      <c r="AG91" s="360">
        <v>1</v>
      </c>
      <c r="AH91" s="360">
        <v>1</v>
      </c>
      <c r="AI91" s="360">
        <v>1</v>
      </c>
      <c r="AJ91" s="360">
        <v>1</v>
      </c>
      <c r="AK91" s="360">
        <v>1</v>
      </c>
      <c r="AL91" s="360">
        <v>1</v>
      </c>
      <c r="AM91" s="360">
        <v>1</v>
      </c>
      <c r="AN91" s="360">
        <v>1</v>
      </c>
      <c r="AO91" s="360">
        <v>1</v>
      </c>
      <c r="AP91" s="360">
        <v>1</v>
      </c>
      <c r="AQ91" s="360">
        <v>1</v>
      </c>
      <c r="AR91" s="360">
        <v>1</v>
      </c>
      <c r="AS91" s="360">
        <v>1</v>
      </c>
      <c r="AT91" s="360">
        <v>1</v>
      </c>
      <c r="AU91" s="360">
        <v>1</v>
      </c>
      <c r="AV91" s="360">
        <v>1</v>
      </c>
      <c r="AW91" s="360">
        <v>1</v>
      </c>
      <c r="AX91" s="360">
        <v>1</v>
      </c>
      <c r="AY91" s="360">
        <v>1</v>
      </c>
      <c r="AZ91" s="360">
        <v>1</v>
      </c>
      <c r="BA91" s="360">
        <v>1</v>
      </c>
      <c r="BB91" s="360">
        <v>1</v>
      </c>
      <c r="BC91" s="360">
        <v>1</v>
      </c>
      <c r="BD91" s="360">
        <v>1</v>
      </c>
      <c r="BE91" s="360">
        <v>1</v>
      </c>
      <c r="BF91" s="360">
        <v>1</v>
      </c>
      <c r="BG91" s="360">
        <v>1</v>
      </c>
      <c r="BH91" s="360">
        <v>1</v>
      </c>
      <c r="BI91" s="360">
        <v>1</v>
      </c>
      <c r="BJ91" s="360">
        <v>1</v>
      </c>
      <c r="BK91" s="360">
        <v>1</v>
      </c>
      <c r="BL91" s="360">
        <v>1</v>
      </c>
      <c r="BM91" s="360">
        <v>1</v>
      </c>
      <c r="BN91" s="360">
        <v>1</v>
      </c>
      <c r="BO91" s="360">
        <v>1</v>
      </c>
      <c r="BP91" s="360">
        <v>1</v>
      </c>
      <c r="BQ91" s="360">
        <v>1</v>
      </c>
      <c r="BR91" s="360">
        <v>1</v>
      </c>
      <c r="BS91" s="360">
        <v>1</v>
      </c>
      <c r="BT91" s="360">
        <v>1</v>
      </c>
      <c r="BU91" s="360">
        <v>1</v>
      </c>
      <c r="BV91" s="360">
        <v>1</v>
      </c>
      <c r="BW91" s="360">
        <v>1</v>
      </c>
      <c r="BX91" s="360">
        <v>1</v>
      </c>
      <c r="BY91" s="360">
        <v>1</v>
      </c>
      <c r="BZ91" s="360">
        <v>1</v>
      </c>
      <c r="CA91" s="360">
        <v>1</v>
      </c>
      <c r="CB91" s="360">
        <v>1</v>
      </c>
      <c r="CC91" s="360">
        <v>1</v>
      </c>
      <c r="CD91" s="360">
        <v>1</v>
      </c>
      <c r="CE91" s="360">
        <v>1</v>
      </c>
      <c r="CF91" s="360">
        <v>1</v>
      </c>
      <c r="CG91" s="360">
        <v>1</v>
      </c>
      <c r="CH91" s="360">
        <v>1</v>
      </c>
      <c r="CI91" s="360">
        <v>1</v>
      </c>
      <c r="CJ91" s="360">
        <v>1</v>
      </c>
      <c r="CK91" s="360">
        <v>1</v>
      </c>
      <c r="CL91" s="360">
        <v>1</v>
      </c>
      <c r="CM91" s="360">
        <v>1</v>
      </c>
      <c r="CN91" s="360">
        <v>1</v>
      </c>
      <c r="CO91" s="360">
        <v>1</v>
      </c>
      <c r="CP91" s="360">
        <v>1</v>
      </c>
      <c r="CQ91" s="360">
        <v>1</v>
      </c>
      <c r="CR91" s="360">
        <v>1</v>
      </c>
      <c r="CS91" s="360">
        <v>1</v>
      </c>
      <c r="CT91" s="360">
        <v>1</v>
      </c>
      <c r="CU91" s="360">
        <v>1</v>
      </c>
    </row>
    <row r="92" spans="1:100" ht="15.75" customHeight="1" outlineLevel="5">
      <c r="A92" s="347"/>
      <c r="B92" s="21"/>
      <c r="C92" s="84" t="s">
        <v>32</v>
      </c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>
        <v>1</v>
      </c>
      <c r="AM92" s="360">
        <v>1</v>
      </c>
      <c r="AN92" s="360">
        <v>1</v>
      </c>
      <c r="AO92" s="360">
        <v>1</v>
      </c>
      <c r="AP92" s="360">
        <v>1</v>
      </c>
      <c r="AQ92" s="360">
        <v>1</v>
      </c>
      <c r="AR92" s="360">
        <v>1</v>
      </c>
      <c r="AS92" s="360">
        <v>1</v>
      </c>
      <c r="AT92" s="360">
        <v>1</v>
      </c>
      <c r="AU92" s="360">
        <v>1</v>
      </c>
      <c r="AV92" s="360">
        <v>1</v>
      </c>
      <c r="AW92" s="360">
        <v>1</v>
      </c>
      <c r="AX92" s="360">
        <v>1</v>
      </c>
      <c r="AY92" s="360">
        <v>1</v>
      </c>
      <c r="AZ92" s="360">
        <v>1</v>
      </c>
      <c r="BA92" s="360">
        <v>1</v>
      </c>
      <c r="BB92" s="360">
        <v>1</v>
      </c>
      <c r="BC92" s="360">
        <v>1</v>
      </c>
      <c r="BD92" s="360">
        <v>1</v>
      </c>
      <c r="BE92" s="360">
        <v>1</v>
      </c>
      <c r="BF92" s="360">
        <v>1</v>
      </c>
      <c r="BG92" s="360">
        <v>1</v>
      </c>
      <c r="BH92" s="360">
        <v>1</v>
      </c>
      <c r="BI92" s="360">
        <v>1</v>
      </c>
      <c r="BJ92" s="360">
        <v>1</v>
      </c>
      <c r="BK92" s="360">
        <v>1</v>
      </c>
      <c r="BL92" s="360">
        <v>1</v>
      </c>
      <c r="BM92" s="360">
        <v>1</v>
      </c>
      <c r="BN92" s="360">
        <v>1</v>
      </c>
      <c r="BO92" s="360">
        <v>1</v>
      </c>
      <c r="BP92" s="360">
        <v>1</v>
      </c>
      <c r="BQ92" s="360">
        <v>1</v>
      </c>
      <c r="BR92" s="360">
        <v>1</v>
      </c>
      <c r="BS92" s="360">
        <v>1</v>
      </c>
      <c r="BT92" s="360">
        <v>1</v>
      </c>
      <c r="BU92" s="360">
        <v>1</v>
      </c>
      <c r="BV92" s="360">
        <v>1</v>
      </c>
      <c r="BW92" s="360">
        <v>1</v>
      </c>
      <c r="BX92" s="360">
        <v>1</v>
      </c>
      <c r="BY92" s="360">
        <v>1</v>
      </c>
      <c r="BZ92" s="360">
        <v>1</v>
      </c>
      <c r="CA92" s="360">
        <v>1</v>
      </c>
      <c r="CB92" s="360">
        <v>1</v>
      </c>
      <c r="CC92" s="360">
        <v>1</v>
      </c>
      <c r="CD92" s="360">
        <v>1</v>
      </c>
      <c r="CE92" s="360">
        <v>1</v>
      </c>
      <c r="CF92" s="360">
        <v>1</v>
      </c>
      <c r="CG92" s="360">
        <v>1</v>
      </c>
      <c r="CH92" s="360">
        <v>1</v>
      </c>
      <c r="CI92" s="360">
        <v>1</v>
      </c>
      <c r="CJ92" s="360">
        <v>1</v>
      </c>
      <c r="CK92" s="360">
        <v>1</v>
      </c>
      <c r="CL92" s="360">
        <v>1</v>
      </c>
      <c r="CM92" s="360">
        <v>1</v>
      </c>
      <c r="CN92" s="360">
        <v>1</v>
      </c>
      <c r="CO92" s="360">
        <v>1</v>
      </c>
      <c r="CP92" s="360">
        <v>1</v>
      </c>
      <c r="CQ92" s="360">
        <v>1</v>
      </c>
      <c r="CR92" s="360">
        <v>1</v>
      </c>
      <c r="CS92" s="360">
        <v>1</v>
      </c>
      <c r="CT92" s="360">
        <v>1</v>
      </c>
      <c r="CU92" s="360">
        <v>1</v>
      </c>
    </row>
    <row r="93" spans="1:100" ht="15.75" customHeight="1" outlineLevel="5">
      <c r="A93" s="347"/>
      <c r="B93" s="21"/>
      <c r="C93" s="84" t="s">
        <v>33</v>
      </c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>
        <v>1</v>
      </c>
      <c r="AM93" s="360">
        <v>1</v>
      </c>
      <c r="AN93" s="360">
        <v>1</v>
      </c>
      <c r="AO93" s="360">
        <v>1</v>
      </c>
      <c r="AP93" s="360">
        <v>1</v>
      </c>
      <c r="AQ93" s="360">
        <v>1</v>
      </c>
      <c r="AR93" s="360">
        <v>1</v>
      </c>
      <c r="AS93" s="360">
        <v>1</v>
      </c>
      <c r="AT93" s="360">
        <v>1</v>
      </c>
      <c r="AU93" s="360">
        <v>1</v>
      </c>
      <c r="AV93" s="360">
        <v>1</v>
      </c>
      <c r="AW93" s="360">
        <v>1</v>
      </c>
      <c r="AX93" s="360">
        <v>1</v>
      </c>
      <c r="AY93" s="360">
        <v>1</v>
      </c>
      <c r="AZ93" s="360">
        <v>1</v>
      </c>
      <c r="BA93" s="360">
        <v>1</v>
      </c>
      <c r="BB93" s="360">
        <v>1</v>
      </c>
      <c r="BC93" s="360">
        <v>3</v>
      </c>
      <c r="BD93" s="360">
        <v>3</v>
      </c>
      <c r="BE93" s="360">
        <v>3</v>
      </c>
      <c r="BF93" s="360">
        <v>3</v>
      </c>
      <c r="BG93" s="360">
        <v>3</v>
      </c>
      <c r="BH93" s="360">
        <v>3</v>
      </c>
      <c r="BI93" s="360">
        <v>3</v>
      </c>
      <c r="BJ93" s="360">
        <v>3</v>
      </c>
      <c r="BK93" s="360">
        <v>3</v>
      </c>
      <c r="BL93" s="360">
        <v>3</v>
      </c>
      <c r="BM93" s="360">
        <v>5</v>
      </c>
      <c r="BN93" s="360">
        <v>5</v>
      </c>
      <c r="BO93" s="360">
        <v>5</v>
      </c>
      <c r="BP93" s="360">
        <v>5</v>
      </c>
      <c r="BQ93" s="360">
        <v>5</v>
      </c>
      <c r="BR93" s="360">
        <v>5</v>
      </c>
      <c r="BS93" s="360">
        <v>8</v>
      </c>
      <c r="BT93" s="360">
        <v>8</v>
      </c>
      <c r="BU93" s="360">
        <v>8</v>
      </c>
      <c r="BV93" s="360">
        <v>8</v>
      </c>
      <c r="BW93" s="360">
        <v>8</v>
      </c>
      <c r="BX93" s="360">
        <v>8</v>
      </c>
      <c r="BY93" s="360">
        <v>8</v>
      </c>
      <c r="BZ93" s="360">
        <v>8</v>
      </c>
      <c r="CA93" s="360">
        <v>10</v>
      </c>
      <c r="CB93" s="360">
        <v>10</v>
      </c>
      <c r="CC93" s="360">
        <v>10</v>
      </c>
      <c r="CD93" s="360">
        <v>10</v>
      </c>
      <c r="CE93" s="360">
        <v>10</v>
      </c>
      <c r="CF93" s="360">
        <v>10</v>
      </c>
      <c r="CG93" s="360">
        <v>10</v>
      </c>
      <c r="CH93" s="360">
        <v>10</v>
      </c>
      <c r="CI93" s="360">
        <v>12</v>
      </c>
      <c r="CJ93" s="360">
        <v>12</v>
      </c>
      <c r="CK93" s="360">
        <v>12</v>
      </c>
      <c r="CL93" s="360">
        <v>12</v>
      </c>
      <c r="CM93" s="360">
        <v>12</v>
      </c>
      <c r="CN93" s="360">
        <v>12</v>
      </c>
      <c r="CO93" s="360">
        <v>12</v>
      </c>
      <c r="CP93" s="360">
        <v>12</v>
      </c>
      <c r="CQ93" s="360">
        <v>14</v>
      </c>
      <c r="CR93" s="360">
        <v>14</v>
      </c>
      <c r="CS93" s="360">
        <v>14</v>
      </c>
      <c r="CT93" s="360">
        <v>14</v>
      </c>
      <c r="CU93" s="360">
        <v>14</v>
      </c>
    </row>
    <row r="94" spans="1:100" ht="15.75" customHeight="1" outlineLevel="5">
      <c r="A94" s="347"/>
      <c r="B94" s="21"/>
      <c r="C94" s="84" t="s">
        <v>34</v>
      </c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>
        <v>1</v>
      </c>
      <c r="AO94" s="360">
        <v>1</v>
      </c>
      <c r="AP94" s="360">
        <v>1</v>
      </c>
      <c r="AQ94" s="360">
        <v>1</v>
      </c>
      <c r="AR94" s="360">
        <v>1</v>
      </c>
      <c r="AS94" s="360">
        <v>1</v>
      </c>
      <c r="AT94" s="360">
        <v>1</v>
      </c>
      <c r="AU94" s="360">
        <v>1</v>
      </c>
      <c r="AV94" s="360">
        <v>1</v>
      </c>
      <c r="AW94" s="360">
        <v>1</v>
      </c>
      <c r="AX94" s="360">
        <v>1</v>
      </c>
      <c r="AY94" s="360">
        <v>1</v>
      </c>
      <c r="AZ94" s="360">
        <v>1</v>
      </c>
      <c r="BA94" s="360">
        <v>1</v>
      </c>
      <c r="BB94" s="360">
        <v>1</v>
      </c>
      <c r="BC94" s="360">
        <v>1</v>
      </c>
      <c r="BD94" s="360">
        <v>1</v>
      </c>
      <c r="BE94" s="360">
        <v>1</v>
      </c>
      <c r="BF94" s="360">
        <v>1</v>
      </c>
      <c r="BG94" s="360">
        <v>1</v>
      </c>
      <c r="BH94" s="360">
        <v>1</v>
      </c>
      <c r="BI94" s="360">
        <v>1</v>
      </c>
      <c r="BJ94" s="360">
        <v>1</v>
      </c>
      <c r="BK94" s="360">
        <v>1</v>
      </c>
      <c r="BL94" s="360">
        <v>1</v>
      </c>
      <c r="BM94" s="360">
        <v>2</v>
      </c>
      <c r="BN94" s="360">
        <v>2</v>
      </c>
      <c r="BO94" s="360">
        <v>2</v>
      </c>
      <c r="BP94" s="360">
        <v>2</v>
      </c>
      <c r="BQ94" s="360">
        <v>2</v>
      </c>
      <c r="BR94" s="360">
        <v>2</v>
      </c>
      <c r="BS94" s="360">
        <v>3</v>
      </c>
      <c r="BT94" s="360">
        <v>3</v>
      </c>
      <c r="BU94" s="360">
        <v>3</v>
      </c>
      <c r="BV94" s="360">
        <v>3</v>
      </c>
      <c r="BW94" s="360">
        <v>3</v>
      </c>
      <c r="BX94" s="360">
        <v>3</v>
      </c>
      <c r="BY94" s="360">
        <v>3</v>
      </c>
      <c r="BZ94" s="360">
        <v>3</v>
      </c>
      <c r="CA94" s="360">
        <v>4</v>
      </c>
      <c r="CB94" s="360">
        <v>4</v>
      </c>
      <c r="CC94" s="360">
        <v>4</v>
      </c>
      <c r="CD94" s="360">
        <v>4</v>
      </c>
      <c r="CE94" s="360">
        <v>4</v>
      </c>
      <c r="CF94" s="360">
        <v>4</v>
      </c>
      <c r="CG94" s="360">
        <v>4</v>
      </c>
      <c r="CH94" s="360">
        <v>4</v>
      </c>
      <c r="CI94" s="360">
        <v>5</v>
      </c>
      <c r="CJ94" s="360">
        <v>5</v>
      </c>
      <c r="CK94" s="360">
        <v>5</v>
      </c>
      <c r="CL94" s="360">
        <v>5</v>
      </c>
      <c r="CM94" s="360">
        <v>5</v>
      </c>
      <c r="CN94" s="360">
        <v>5</v>
      </c>
      <c r="CO94" s="360">
        <v>5</v>
      </c>
      <c r="CP94" s="360">
        <v>5</v>
      </c>
      <c r="CQ94" s="360">
        <v>6</v>
      </c>
      <c r="CR94" s="360">
        <v>6</v>
      </c>
      <c r="CS94" s="360">
        <v>6</v>
      </c>
      <c r="CT94" s="360">
        <v>6</v>
      </c>
      <c r="CU94" s="360">
        <v>6</v>
      </c>
    </row>
    <row r="95" spans="1:100" ht="15.75" customHeight="1" outlineLevel="5">
      <c r="A95" s="347"/>
      <c r="B95" s="21"/>
      <c r="C95" s="84" t="s">
        <v>35</v>
      </c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>
        <v>1</v>
      </c>
      <c r="AW95" s="360">
        <v>1</v>
      </c>
      <c r="AX95" s="360">
        <v>1</v>
      </c>
      <c r="AY95" s="360">
        <v>1</v>
      </c>
      <c r="AZ95" s="360">
        <v>1</v>
      </c>
      <c r="BA95" s="360">
        <v>1</v>
      </c>
      <c r="BB95" s="360">
        <v>1</v>
      </c>
      <c r="BC95" s="360">
        <v>1</v>
      </c>
      <c r="BD95" s="360">
        <v>1</v>
      </c>
      <c r="BE95" s="360">
        <v>1</v>
      </c>
      <c r="BF95" s="360">
        <v>1</v>
      </c>
      <c r="BG95" s="360">
        <v>1</v>
      </c>
      <c r="BH95" s="360">
        <v>1</v>
      </c>
      <c r="BI95" s="360">
        <v>1</v>
      </c>
      <c r="BJ95" s="360">
        <v>1</v>
      </c>
      <c r="BK95" s="360">
        <v>1</v>
      </c>
      <c r="BL95" s="360">
        <v>1</v>
      </c>
      <c r="BM95" s="360">
        <v>2</v>
      </c>
      <c r="BN95" s="360">
        <v>2</v>
      </c>
      <c r="BO95" s="360">
        <v>2</v>
      </c>
      <c r="BP95" s="360">
        <v>2</v>
      </c>
      <c r="BQ95" s="360">
        <v>2</v>
      </c>
      <c r="BR95" s="360">
        <v>2</v>
      </c>
      <c r="BS95" s="360">
        <v>3</v>
      </c>
      <c r="BT95" s="360">
        <v>3</v>
      </c>
      <c r="BU95" s="360">
        <v>3</v>
      </c>
      <c r="BV95" s="360">
        <v>3</v>
      </c>
      <c r="BW95" s="360">
        <v>3</v>
      </c>
      <c r="BX95" s="360">
        <v>3</v>
      </c>
      <c r="BY95" s="360">
        <v>3</v>
      </c>
      <c r="BZ95" s="360">
        <v>3</v>
      </c>
      <c r="CA95" s="360">
        <v>4</v>
      </c>
      <c r="CB95" s="360">
        <v>4</v>
      </c>
      <c r="CC95" s="360">
        <v>4</v>
      </c>
      <c r="CD95" s="360">
        <v>4</v>
      </c>
      <c r="CE95" s="360">
        <v>4</v>
      </c>
      <c r="CF95" s="360">
        <v>4</v>
      </c>
      <c r="CG95" s="360">
        <v>4</v>
      </c>
      <c r="CH95" s="360">
        <v>4</v>
      </c>
      <c r="CI95" s="360">
        <v>5</v>
      </c>
      <c r="CJ95" s="360">
        <v>5</v>
      </c>
      <c r="CK95" s="360">
        <v>5</v>
      </c>
      <c r="CL95" s="360">
        <v>5</v>
      </c>
      <c r="CM95" s="360">
        <v>5</v>
      </c>
      <c r="CN95" s="360">
        <v>5</v>
      </c>
      <c r="CO95" s="360">
        <v>5</v>
      </c>
      <c r="CP95" s="360">
        <v>5</v>
      </c>
      <c r="CQ95" s="360">
        <v>6</v>
      </c>
      <c r="CR95" s="360">
        <v>6</v>
      </c>
      <c r="CS95" s="360">
        <v>6</v>
      </c>
      <c r="CT95" s="360">
        <v>6</v>
      </c>
      <c r="CU95" s="360">
        <v>6</v>
      </c>
    </row>
    <row r="96" spans="1:100" ht="15.75" customHeight="1" outlineLevel="5">
      <c r="A96" s="347"/>
      <c r="B96" s="21"/>
      <c r="C96" s="84" t="s">
        <v>36</v>
      </c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>
        <v>1</v>
      </c>
      <c r="AW96" s="360">
        <v>1</v>
      </c>
      <c r="AX96" s="360">
        <v>1</v>
      </c>
      <c r="AY96" s="360">
        <v>1</v>
      </c>
      <c r="AZ96" s="360">
        <v>1</v>
      </c>
      <c r="BA96" s="360">
        <v>1</v>
      </c>
      <c r="BB96" s="360">
        <v>1</v>
      </c>
      <c r="BC96" s="360">
        <v>1</v>
      </c>
      <c r="BD96" s="360">
        <v>1</v>
      </c>
      <c r="BE96" s="360">
        <v>1</v>
      </c>
      <c r="BF96" s="360">
        <v>1</v>
      </c>
      <c r="BG96" s="360">
        <v>1</v>
      </c>
      <c r="BH96" s="360">
        <v>1</v>
      </c>
      <c r="BI96" s="360">
        <v>1</v>
      </c>
      <c r="BJ96" s="360">
        <v>1</v>
      </c>
      <c r="BK96" s="360">
        <v>1</v>
      </c>
      <c r="BL96" s="360">
        <v>1</v>
      </c>
      <c r="BM96" s="360">
        <v>1</v>
      </c>
      <c r="BN96" s="360">
        <v>1</v>
      </c>
      <c r="BO96" s="360">
        <v>1</v>
      </c>
      <c r="BP96" s="360">
        <v>1</v>
      </c>
      <c r="BQ96" s="360">
        <v>1</v>
      </c>
      <c r="BR96" s="360">
        <v>1</v>
      </c>
      <c r="BS96" s="360">
        <v>1</v>
      </c>
      <c r="BT96" s="360">
        <v>1</v>
      </c>
      <c r="BU96" s="360">
        <v>1</v>
      </c>
      <c r="BV96" s="360">
        <v>1</v>
      </c>
      <c r="BW96" s="360">
        <v>1</v>
      </c>
      <c r="BX96" s="360">
        <v>1</v>
      </c>
      <c r="BY96" s="360">
        <v>1</v>
      </c>
      <c r="BZ96" s="360">
        <v>1</v>
      </c>
      <c r="CA96" s="360">
        <v>1</v>
      </c>
      <c r="CB96" s="360">
        <v>1</v>
      </c>
      <c r="CC96" s="360">
        <v>1</v>
      </c>
      <c r="CD96" s="360">
        <v>1</v>
      </c>
      <c r="CE96" s="360">
        <v>1</v>
      </c>
      <c r="CF96" s="360">
        <v>1</v>
      </c>
      <c r="CG96" s="360">
        <v>1</v>
      </c>
      <c r="CH96" s="360">
        <v>1</v>
      </c>
      <c r="CI96" s="360">
        <v>1</v>
      </c>
      <c r="CJ96" s="360">
        <v>1</v>
      </c>
      <c r="CK96" s="360">
        <v>1</v>
      </c>
      <c r="CL96" s="360">
        <v>1</v>
      </c>
      <c r="CM96" s="360">
        <v>1</v>
      </c>
      <c r="CN96" s="360">
        <v>1</v>
      </c>
      <c r="CO96" s="360">
        <v>1</v>
      </c>
      <c r="CP96" s="360">
        <v>1</v>
      </c>
      <c r="CQ96" s="360">
        <v>1</v>
      </c>
      <c r="CR96" s="360">
        <v>1</v>
      </c>
      <c r="CS96" s="360">
        <v>1</v>
      </c>
      <c r="CT96" s="360">
        <v>1</v>
      </c>
      <c r="CU96" s="360">
        <v>1</v>
      </c>
      <c r="CV96" s="3"/>
    </row>
    <row r="97" spans="1:100" ht="15.75" customHeight="1" outlineLevel="5">
      <c r="A97" s="347"/>
      <c r="B97" s="21"/>
      <c r="C97" s="84" t="s">
        <v>37</v>
      </c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>
        <v>1</v>
      </c>
      <c r="BD97" s="360">
        <v>1</v>
      </c>
      <c r="BE97" s="360">
        <v>1</v>
      </c>
      <c r="BF97" s="360">
        <v>1</v>
      </c>
      <c r="BG97" s="360">
        <v>1</v>
      </c>
      <c r="BH97" s="360">
        <v>1</v>
      </c>
      <c r="BI97" s="360">
        <v>1</v>
      </c>
      <c r="BJ97" s="360">
        <v>1</v>
      </c>
      <c r="BK97" s="360">
        <v>1</v>
      </c>
      <c r="BL97" s="360">
        <v>1</v>
      </c>
      <c r="BM97" s="360">
        <v>1</v>
      </c>
      <c r="BN97" s="360">
        <v>1</v>
      </c>
      <c r="BO97" s="360">
        <v>1</v>
      </c>
      <c r="BP97" s="360">
        <v>1</v>
      </c>
      <c r="BQ97" s="360">
        <v>1</v>
      </c>
      <c r="BR97" s="360">
        <v>1</v>
      </c>
      <c r="BS97" s="360">
        <v>1</v>
      </c>
      <c r="BT97" s="360">
        <v>1</v>
      </c>
      <c r="BU97" s="360">
        <v>1</v>
      </c>
      <c r="BV97" s="360">
        <v>1</v>
      </c>
      <c r="BW97" s="360">
        <v>1</v>
      </c>
      <c r="BX97" s="360">
        <v>1</v>
      </c>
      <c r="BY97" s="360">
        <v>1</v>
      </c>
      <c r="BZ97" s="360">
        <v>1</v>
      </c>
      <c r="CA97" s="360">
        <v>1</v>
      </c>
      <c r="CB97" s="360">
        <v>1</v>
      </c>
      <c r="CC97" s="360">
        <v>1</v>
      </c>
      <c r="CD97" s="360">
        <v>1</v>
      </c>
      <c r="CE97" s="360">
        <v>1</v>
      </c>
      <c r="CF97" s="360">
        <v>1</v>
      </c>
      <c r="CG97" s="360">
        <v>1</v>
      </c>
      <c r="CH97" s="360">
        <v>1</v>
      </c>
      <c r="CI97" s="360">
        <v>1</v>
      </c>
      <c r="CJ97" s="360">
        <v>1</v>
      </c>
      <c r="CK97" s="360">
        <v>1</v>
      </c>
      <c r="CL97" s="360">
        <v>1</v>
      </c>
      <c r="CM97" s="360">
        <v>1</v>
      </c>
      <c r="CN97" s="360">
        <v>1</v>
      </c>
      <c r="CO97" s="360">
        <v>1</v>
      </c>
      <c r="CP97" s="360">
        <v>1</v>
      </c>
      <c r="CQ97" s="360">
        <v>1</v>
      </c>
      <c r="CR97" s="360">
        <v>1</v>
      </c>
      <c r="CS97" s="360">
        <v>1</v>
      </c>
      <c r="CT97" s="360">
        <v>1</v>
      </c>
      <c r="CU97" s="360">
        <v>1</v>
      </c>
      <c r="CV97" s="3"/>
    </row>
    <row r="98" spans="1:100" ht="15.75" customHeight="1" outlineLevel="5">
      <c r="A98" s="347"/>
      <c r="B98" s="21"/>
      <c r="C98" s="84" t="s">
        <v>38</v>
      </c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>
        <v>1</v>
      </c>
      <c r="BM98" s="360">
        <v>1</v>
      </c>
      <c r="BN98" s="360">
        <v>1</v>
      </c>
      <c r="BO98" s="360">
        <v>1</v>
      </c>
      <c r="BP98" s="360">
        <v>1</v>
      </c>
      <c r="BQ98" s="360">
        <v>1</v>
      </c>
      <c r="BR98" s="360">
        <v>1</v>
      </c>
      <c r="BS98" s="360">
        <v>1</v>
      </c>
      <c r="BT98" s="360">
        <v>1</v>
      </c>
      <c r="BU98" s="360">
        <v>1</v>
      </c>
      <c r="BV98" s="360">
        <v>1</v>
      </c>
      <c r="BW98" s="360">
        <v>1</v>
      </c>
      <c r="BX98" s="360">
        <v>1</v>
      </c>
      <c r="BY98" s="360">
        <v>1</v>
      </c>
      <c r="BZ98" s="360">
        <v>1</v>
      </c>
      <c r="CA98" s="360">
        <v>1</v>
      </c>
      <c r="CB98" s="360">
        <v>1</v>
      </c>
      <c r="CC98" s="360">
        <v>1</v>
      </c>
      <c r="CD98" s="360">
        <v>1</v>
      </c>
      <c r="CE98" s="360">
        <v>1</v>
      </c>
      <c r="CF98" s="360">
        <v>1</v>
      </c>
      <c r="CG98" s="360">
        <v>1</v>
      </c>
      <c r="CH98" s="360">
        <v>1</v>
      </c>
      <c r="CI98" s="360">
        <v>1</v>
      </c>
      <c r="CJ98" s="360">
        <v>1</v>
      </c>
      <c r="CK98" s="360">
        <v>1</v>
      </c>
      <c r="CL98" s="360">
        <v>1</v>
      </c>
      <c r="CM98" s="360">
        <v>1</v>
      </c>
      <c r="CN98" s="360">
        <v>1</v>
      </c>
      <c r="CO98" s="360">
        <v>1</v>
      </c>
      <c r="CP98" s="360">
        <v>1</v>
      </c>
      <c r="CQ98" s="360">
        <v>1</v>
      </c>
      <c r="CR98" s="360">
        <v>1</v>
      </c>
      <c r="CS98" s="360">
        <v>1</v>
      </c>
      <c r="CT98" s="360">
        <v>1</v>
      </c>
      <c r="CU98" s="360">
        <v>1</v>
      </c>
      <c r="CV98" s="3"/>
    </row>
    <row r="99" spans="1:100" ht="15.75" customHeight="1" outlineLevel="5">
      <c r="A99" s="347"/>
      <c r="B99" s="21"/>
      <c r="C99" s="84" t="s">
        <v>39</v>
      </c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>
        <v>1</v>
      </c>
      <c r="BM99" s="360">
        <v>1</v>
      </c>
      <c r="BN99" s="360">
        <v>1</v>
      </c>
      <c r="BO99" s="360">
        <v>1</v>
      </c>
      <c r="BP99" s="360">
        <v>1</v>
      </c>
      <c r="BQ99" s="360">
        <v>1</v>
      </c>
      <c r="BR99" s="360">
        <v>1</v>
      </c>
      <c r="BS99" s="360">
        <v>1</v>
      </c>
      <c r="BT99" s="360">
        <v>1</v>
      </c>
      <c r="BU99" s="360">
        <v>1</v>
      </c>
      <c r="BV99" s="360">
        <v>1</v>
      </c>
      <c r="BW99" s="360">
        <v>1</v>
      </c>
      <c r="BX99" s="360">
        <v>1</v>
      </c>
      <c r="BY99" s="360">
        <v>1</v>
      </c>
      <c r="BZ99" s="360">
        <v>1</v>
      </c>
      <c r="CA99" s="360">
        <v>1</v>
      </c>
      <c r="CB99" s="360">
        <v>1</v>
      </c>
      <c r="CC99" s="360">
        <v>1</v>
      </c>
      <c r="CD99" s="360">
        <v>1</v>
      </c>
      <c r="CE99" s="360">
        <v>1</v>
      </c>
      <c r="CF99" s="360">
        <v>1</v>
      </c>
      <c r="CG99" s="360">
        <v>1</v>
      </c>
      <c r="CH99" s="360">
        <v>1</v>
      </c>
      <c r="CI99" s="360">
        <v>1</v>
      </c>
      <c r="CJ99" s="360">
        <v>1</v>
      </c>
      <c r="CK99" s="360">
        <v>1</v>
      </c>
      <c r="CL99" s="360">
        <v>1</v>
      </c>
      <c r="CM99" s="360">
        <v>1</v>
      </c>
      <c r="CN99" s="360">
        <v>1</v>
      </c>
      <c r="CO99" s="360">
        <v>1</v>
      </c>
      <c r="CP99" s="360">
        <v>1</v>
      </c>
      <c r="CQ99" s="360">
        <v>1</v>
      </c>
      <c r="CR99" s="360">
        <v>1</v>
      </c>
      <c r="CS99" s="360">
        <v>1</v>
      </c>
      <c r="CT99" s="360">
        <v>1</v>
      </c>
      <c r="CU99" s="360">
        <v>1</v>
      </c>
      <c r="CV99" s="3"/>
    </row>
    <row r="100" spans="1:100" ht="15.75" customHeight="1" outlineLevel="5">
      <c r="A100" s="347"/>
      <c r="B100" s="21"/>
      <c r="C100" s="84" t="s">
        <v>40</v>
      </c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>
        <v>1</v>
      </c>
      <c r="BM100" s="360">
        <v>1</v>
      </c>
      <c r="BN100" s="360">
        <v>1</v>
      </c>
      <c r="BO100" s="360">
        <v>1</v>
      </c>
      <c r="BP100" s="360">
        <v>1</v>
      </c>
      <c r="BQ100" s="360">
        <v>1</v>
      </c>
      <c r="BR100" s="360">
        <v>1</v>
      </c>
      <c r="BS100" s="360">
        <v>2</v>
      </c>
      <c r="BT100" s="360">
        <v>2</v>
      </c>
      <c r="BU100" s="360">
        <v>2</v>
      </c>
      <c r="BV100" s="360">
        <v>2</v>
      </c>
      <c r="BW100" s="360">
        <v>2</v>
      </c>
      <c r="BX100" s="360">
        <v>2</v>
      </c>
      <c r="BY100" s="360">
        <v>2</v>
      </c>
      <c r="BZ100" s="360">
        <v>2</v>
      </c>
      <c r="CA100" s="360">
        <v>3</v>
      </c>
      <c r="CB100" s="360">
        <v>3</v>
      </c>
      <c r="CC100" s="360">
        <v>3</v>
      </c>
      <c r="CD100" s="360">
        <v>3</v>
      </c>
      <c r="CE100" s="360">
        <v>3</v>
      </c>
      <c r="CF100" s="360">
        <v>3</v>
      </c>
      <c r="CG100" s="360">
        <v>3</v>
      </c>
      <c r="CH100" s="360">
        <v>3</v>
      </c>
      <c r="CI100" s="360">
        <v>4</v>
      </c>
      <c r="CJ100" s="360">
        <v>4</v>
      </c>
      <c r="CK100" s="360">
        <v>4</v>
      </c>
      <c r="CL100" s="360">
        <v>4</v>
      </c>
      <c r="CM100" s="360">
        <v>4</v>
      </c>
      <c r="CN100" s="360">
        <v>4</v>
      </c>
      <c r="CO100" s="360">
        <v>4</v>
      </c>
      <c r="CP100" s="360">
        <v>4</v>
      </c>
      <c r="CQ100" s="360">
        <v>5</v>
      </c>
      <c r="CR100" s="360">
        <v>5</v>
      </c>
      <c r="CS100" s="360">
        <v>5</v>
      </c>
      <c r="CT100" s="360">
        <v>5</v>
      </c>
      <c r="CU100" s="360">
        <v>5</v>
      </c>
      <c r="CV100" s="3"/>
    </row>
    <row r="101" spans="1:100" ht="15.75" customHeight="1" outlineLevel="5">
      <c r="A101" s="347"/>
      <c r="B101" s="21"/>
      <c r="C101" s="84" t="s">
        <v>41</v>
      </c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>
        <v>1</v>
      </c>
      <c r="BD101" s="360">
        <v>1</v>
      </c>
      <c r="BE101" s="360">
        <v>1</v>
      </c>
      <c r="BF101" s="360">
        <v>1</v>
      </c>
      <c r="BG101" s="360">
        <v>1</v>
      </c>
      <c r="BH101" s="360">
        <v>1</v>
      </c>
      <c r="BI101" s="360">
        <v>1</v>
      </c>
      <c r="BJ101" s="360">
        <v>1</v>
      </c>
      <c r="BK101" s="360">
        <v>1</v>
      </c>
      <c r="BL101" s="360">
        <v>1</v>
      </c>
      <c r="BM101" s="360">
        <v>1</v>
      </c>
      <c r="BN101" s="360">
        <v>1</v>
      </c>
      <c r="BO101" s="360">
        <v>1</v>
      </c>
      <c r="BP101" s="360">
        <v>1</v>
      </c>
      <c r="BQ101" s="360">
        <v>1</v>
      </c>
      <c r="BR101" s="360">
        <v>1</v>
      </c>
      <c r="BS101" s="360">
        <v>1</v>
      </c>
      <c r="BT101" s="360">
        <v>1</v>
      </c>
      <c r="BU101" s="360">
        <v>1</v>
      </c>
      <c r="BV101" s="360">
        <v>1</v>
      </c>
      <c r="BW101" s="360">
        <v>1</v>
      </c>
      <c r="BX101" s="360">
        <v>1</v>
      </c>
      <c r="BY101" s="360">
        <v>1</v>
      </c>
      <c r="BZ101" s="360">
        <v>1</v>
      </c>
      <c r="CA101" s="360">
        <v>1</v>
      </c>
      <c r="CB101" s="360">
        <v>1</v>
      </c>
      <c r="CC101" s="360">
        <v>1</v>
      </c>
      <c r="CD101" s="360">
        <v>1</v>
      </c>
      <c r="CE101" s="360">
        <v>1</v>
      </c>
      <c r="CF101" s="360">
        <v>1</v>
      </c>
      <c r="CG101" s="360">
        <v>1</v>
      </c>
      <c r="CH101" s="360">
        <v>1</v>
      </c>
      <c r="CI101" s="360">
        <v>1</v>
      </c>
      <c r="CJ101" s="360">
        <v>1</v>
      </c>
      <c r="CK101" s="360">
        <v>1</v>
      </c>
      <c r="CL101" s="360">
        <v>1</v>
      </c>
      <c r="CM101" s="360">
        <v>1</v>
      </c>
      <c r="CN101" s="360">
        <v>1</v>
      </c>
      <c r="CO101" s="360">
        <v>1</v>
      </c>
      <c r="CP101" s="360">
        <v>1</v>
      </c>
      <c r="CQ101" s="360">
        <v>1</v>
      </c>
      <c r="CR101" s="360">
        <v>1</v>
      </c>
      <c r="CS101" s="360">
        <v>1</v>
      </c>
      <c r="CT101" s="360">
        <v>1</v>
      </c>
      <c r="CU101" s="360">
        <v>1</v>
      </c>
      <c r="CV101" s="3"/>
    </row>
    <row r="102" spans="1:100" ht="15.75" customHeight="1" outlineLevel="5">
      <c r="A102" s="347"/>
      <c r="B102" s="21"/>
      <c r="C102" s="84" t="s">
        <v>42</v>
      </c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>
        <v>1</v>
      </c>
      <c r="BM102" s="360">
        <v>1</v>
      </c>
      <c r="BN102" s="360">
        <v>1</v>
      </c>
      <c r="BO102" s="360">
        <v>1</v>
      </c>
      <c r="BP102" s="360">
        <v>1</v>
      </c>
      <c r="BQ102" s="360">
        <v>1</v>
      </c>
      <c r="BR102" s="360">
        <v>1</v>
      </c>
      <c r="BS102" s="360">
        <v>1</v>
      </c>
      <c r="BT102" s="360">
        <v>1</v>
      </c>
      <c r="BU102" s="360">
        <v>1</v>
      </c>
      <c r="BV102" s="360">
        <v>1</v>
      </c>
      <c r="BW102" s="360">
        <v>1</v>
      </c>
      <c r="BX102" s="360">
        <v>1</v>
      </c>
      <c r="BY102" s="360">
        <v>1</v>
      </c>
      <c r="BZ102" s="360">
        <v>1</v>
      </c>
      <c r="CA102" s="360">
        <v>1</v>
      </c>
      <c r="CB102" s="360">
        <v>1</v>
      </c>
      <c r="CC102" s="360">
        <v>1</v>
      </c>
      <c r="CD102" s="360">
        <v>1</v>
      </c>
      <c r="CE102" s="360">
        <v>1</v>
      </c>
      <c r="CF102" s="360">
        <v>1</v>
      </c>
      <c r="CG102" s="360">
        <v>1</v>
      </c>
      <c r="CH102" s="360">
        <v>1</v>
      </c>
      <c r="CI102" s="360">
        <v>1</v>
      </c>
      <c r="CJ102" s="360">
        <v>1</v>
      </c>
      <c r="CK102" s="360">
        <v>1</v>
      </c>
      <c r="CL102" s="360">
        <v>1</v>
      </c>
      <c r="CM102" s="360">
        <v>1</v>
      </c>
      <c r="CN102" s="360">
        <v>1</v>
      </c>
      <c r="CO102" s="360">
        <v>1</v>
      </c>
      <c r="CP102" s="360">
        <v>1</v>
      </c>
      <c r="CQ102" s="360">
        <v>1</v>
      </c>
      <c r="CR102" s="360">
        <v>1</v>
      </c>
      <c r="CS102" s="360">
        <v>1</v>
      </c>
      <c r="CT102" s="360">
        <v>1</v>
      </c>
      <c r="CU102" s="360">
        <v>1</v>
      </c>
      <c r="CV102" s="3"/>
    </row>
    <row r="103" spans="1:100" ht="15.75" customHeight="1" outlineLevel="5">
      <c r="A103" s="347"/>
      <c r="B103" s="21"/>
      <c r="C103" s="84" t="s">
        <v>29</v>
      </c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>
        <v>1</v>
      </c>
      <c r="AY103" s="360">
        <v>1</v>
      </c>
      <c r="AZ103" s="360">
        <v>1</v>
      </c>
      <c r="BA103" s="360">
        <v>1</v>
      </c>
      <c r="BB103" s="360">
        <v>1</v>
      </c>
      <c r="BC103" s="360">
        <v>2</v>
      </c>
      <c r="BD103" s="360">
        <v>2</v>
      </c>
      <c r="BE103" s="360">
        <v>2</v>
      </c>
      <c r="BF103" s="360">
        <v>2</v>
      </c>
      <c r="BG103" s="360">
        <v>2</v>
      </c>
      <c r="BH103" s="360">
        <v>2</v>
      </c>
      <c r="BI103" s="360">
        <v>2</v>
      </c>
      <c r="BJ103" s="360">
        <v>2</v>
      </c>
      <c r="BK103" s="360">
        <v>2</v>
      </c>
      <c r="BL103" s="360">
        <v>2</v>
      </c>
      <c r="BM103" s="360">
        <v>2</v>
      </c>
      <c r="BN103" s="360">
        <v>2</v>
      </c>
      <c r="BO103" s="360">
        <v>2</v>
      </c>
      <c r="BP103" s="360">
        <v>2</v>
      </c>
      <c r="BQ103" s="360">
        <v>2</v>
      </c>
      <c r="BR103" s="360">
        <v>2</v>
      </c>
      <c r="BS103" s="360">
        <v>2</v>
      </c>
      <c r="BT103" s="360">
        <v>2</v>
      </c>
      <c r="BU103" s="360">
        <v>2</v>
      </c>
      <c r="BV103" s="360">
        <v>2</v>
      </c>
      <c r="BW103" s="360">
        <v>2</v>
      </c>
      <c r="BX103" s="360">
        <v>2</v>
      </c>
      <c r="BY103" s="360">
        <v>2</v>
      </c>
      <c r="BZ103" s="360">
        <v>2</v>
      </c>
      <c r="CA103" s="360">
        <v>2</v>
      </c>
      <c r="CB103" s="360">
        <v>2</v>
      </c>
      <c r="CC103" s="360">
        <v>2</v>
      </c>
      <c r="CD103" s="360">
        <v>2</v>
      </c>
      <c r="CE103" s="360">
        <v>2</v>
      </c>
      <c r="CF103" s="360">
        <v>2</v>
      </c>
      <c r="CG103" s="360">
        <v>2</v>
      </c>
      <c r="CH103" s="360">
        <v>2</v>
      </c>
      <c r="CI103" s="360">
        <v>2</v>
      </c>
      <c r="CJ103" s="360">
        <v>2</v>
      </c>
      <c r="CK103" s="360">
        <v>2</v>
      </c>
      <c r="CL103" s="360">
        <v>2</v>
      </c>
      <c r="CM103" s="360">
        <v>2</v>
      </c>
      <c r="CN103" s="360">
        <v>2</v>
      </c>
      <c r="CO103" s="360">
        <v>2</v>
      </c>
      <c r="CP103" s="360">
        <v>2</v>
      </c>
      <c r="CQ103" s="360">
        <v>2</v>
      </c>
      <c r="CR103" s="360">
        <v>2</v>
      </c>
      <c r="CS103" s="360">
        <v>2</v>
      </c>
      <c r="CT103" s="360">
        <v>2</v>
      </c>
      <c r="CU103" s="360">
        <v>2</v>
      </c>
      <c r="CV103" s="3"/>
    </row>
    <row r="104" spans="1:100" s="265" customFormat="1" ht="15.75" customHeight="1" outlineLevel="5">
      <c r="A104" s="347"/>
      <c r="B104" s="21"/>
      <c r="C104" s="84" t="s">
        <v>384</v>
      </c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>
        <v>1</v>
      </c>
      <c r="BD104" s="360">
        <v>1</v>
      </c>
      <c r="BE104" s="360">
        <v>1</v>
      </c>
      <c r="BF104" s="360">
        <v>1</v>
      </c>
      <c r="BG104" s="360">
        <v>1</v>
      </c>
      <c r="BH104" s="360">
        <v>1</v>
      </c>
      <c r="BI104" s="360">
        <v>1</v>
      </c>
      <c r="BJ104" s="360">
        <v>1</v>
      </c>
      <c r="BK104" s="360">
        <v>1</v>
      </c>
      <c r="BL104" s="360">
        <v>1</v>
      </c>
      <c r="BM104" s="360">
        <v>1</v>
      </c>
      <c r="BN104" s="360">
        <v>1</v>
      </c>
      <c r="BO104" s="360">
        <v>1</v>
      </c>
      <c r="BP104" s="360">
        <v>1</v>
      </c>
      <c r="BQ104" s="360">
        <v>1</v>
      </c>
      <c r="BR104" s="360">
        <v>1</v>
      </c>
      <c r="BS104" s="360">
        <v>1</v>
      </c>
      <c r="BT104" s="360">
        <v>1</v>
      </c>
      <c r="BU104" s="360">
        <v>1</v>
      </c>
      <c r="BV104" s="360">
        <v>1</v>
      </c>
      <c r="BW104" s="360">
        <v>1</v>
      </c>
      <c r="BX104" s="360">
        <v>1</v>
      </c>
      <c r="BY104" s="360">
        <v>1</v>
      </c>
      <c r="BZ104" s="360">
        <v>1</v>
      </c>
      <c r="CA104" s="360">
        <v>1</v>
      </c>
      <c r="CB104" s="360">
        <v>1</v>
      </c>
      <c r="CC104" s="360">
        <v>1</v>
      </c>
      <c r="CD104" s="360">
        <v>1</v>
      </c>
      <c r="CE104" s="360">
        <v>1</v>
      </c>
      <c r="CF104" s="360">
        <v>1</v>
      </c>
      <c r="CG104" s="360">
        <v>1</v>
      </c>
      <c r="CH104" s="360">
        <v>1</v>
      </c>
      <c r="CI104" s="360">
        <v>1</v>
      </c>
      <c r="CJ104" s="360">
        <v>1</v>
      </c>
      <c r="CK104" s="360">
        <v>1</v>
      </c>
      <c r="CL104" s="360">
        <v>1</v>
      </c>
      <c r="CM104" s="360">
        <v>1</v>
      </c>
      <c r="CN104" s="360">
        <v>1</v>
      </c>
      <c r="CO104" s="360">
        <v>1</v>
      </c>
      <c r="CP104" s="360">
        <v>1</v>
      </c>
      <c r="CQ104" s="360">
        <v>1</v>
      </c>
      <c r="CR104" s="360">
        <v>1</v>
      </c>
      <c r="CS104" s="360">
        <v>1</v>
      </c>
      <c r="CT104" s="360">
        <v>1</v>
      </c>
      <c r="CU104" s="360">
        <v>1</v>
      </c>
      <c r="CV104" s="344"/>
    </row>
    <row r="105" spans="1:100" s="265" customFormat="1" ht="15.75" customHeight="1" outlineLevel="5">
      <c r="A105" s="347"/>
      <c r="B105" s="21"/>
      <c r="C105" s="84" t="s">
        <v>385</v>
      </c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>
        <v>1</v>
      </c>
      <c r="BD105" s="360">
        <v>1</v>
      </c>
      <c r="BE105" s="360">
        <v>1</v>
      </c>
      <c r="BF105" s="360">
        <v>1</v>
      </c>
      <c r="BG105" s="360">
        <v>1</v>
      </c>
      <c r="BH105" s="360">
        <v>1</v>
      </c>
      <c r="BI105" s="360">
        <v>1</v>
      </c>
      <c r="BJ105" s="360">
        <v>1</v>
      </c>
      <c r="BK105" s="360">
        <v>1</v>
      </c>
      <c r="BL105" s="360">
        <v>1</v>
      </c>
      <c r="BM105" s="360">
        <v>1</v>
      </c>
      <c r="BN105" s="360">
        <v>1</v>
      </c>
      <c r="BO105" s="360">
        <v>1</v>
      </c>
      <c r="BP105" s="360">
        <v>1</v>
      </c>
      <c r="BQ105" s="360">
        <v>1</v>
      </c>
      <c r="BR105" s="360">
        <v>1</v>
      </c>
      <c r="BS105" s="360">
        <v>1</v>
      </c>
      <c r="BT105" s="360">
        <v>1</v>
      </c>
      <c r="BU105" s="360">
        <v>1</v>
      </c>
      <c r="BV105" s="360">
        <v>1</v>
      </c>
      <c r="BW105" s="360">
        <v>1</v>
      </c>
      <c r="BX105" s="360">
        <v>1</v>
      </c>
      <c r="BY105" s="360">
        <v>1</v>
      </c>
      <c r="BZ105" s="360">
        <v>1</v>
      </c>
      <c r="CA105" s="360">
        <v>1</v>
      </c>
      <c r="CB105" s="360">
        <v>1</v>
      </c>
      <c r="CC105" s="360">
        <v>1</v>
      </c>
      <c r="CD105" s="360">
        <v>1</v>
      </c>
      <c r="CE105" s="360">
        <v>1</v>
      </c>
      <c r="CF105" s="360">
        <v>1</v>
      </c>
      <c r="CG105" s="360">
        <v>1</v>
      </c>
      <c r="CH105" s="360">
        <v>1</v>
      </c>
      <c r="CI105" s="360">
        <v>1</v>
      </c>
      <c r="CJ105" s="360">
        <v>1</v>
      </c>
      <c r="CK105" s="360">
        <v>1</v>
      </c>
      <c r="CL105" s="360">
        <v>1</v>
      </c>
      <c r="CM105" s="360">
        <v>1</v>
      </c>
      <c r="CN105" s="360">
        <v>1</v>
      </c>
      <c r="CO105" s="360">
        <v>1</v>
      </c>
      <c r="CP105" s="360">
        <v>1</v>
      </c>
      <c r="CQ105" s="360">
        <v>1</v>
      </c>
      <c r="CR105" s="360">
        <v>1</v>
      </c>
      <c r="CS105" s="360">
        <v>1</v>
      </c>
      <c r="CT105" s="360">
        <v>1</v>
      </c>
      <c r="CU105" s="360">
        <v>1</v>
      </c>
      <c r="CV105" s="344"/>
    </row>
    <row r="106" spans="1:100" s="265" customFormat="1" ht="15.75" customHeight="1" outlineLevel="5">
      <c r="A106" s="347"/>
      <c r="B106" s="21"/>
      <c r="C106" s="84" t="s">
        <v>386</v>
      </c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>
        <v>1</v>
      </c>
      <c r="BD106" s="360">
        <v>1</v>
      </c>
      <c r="BE106" s="360">
        <v>1</v>
      </c>
      <c r="BF106" s="360">
        <v>1</v>
      </c>
      <c r="BG106" s="360">
        <v>1</v>
      </c>
      <c r="BH106" s="360">
        <v>1</v>
      </c>
      <c r="BI106" s="360">
        <v>1</v>
      </c>
      <c r="BJ106" s="360">
        <v>1</v>
      </c>
      <c r="BK106" s="360">
        <v>1</v>
      </c>
      <c r="BL106" s="360">
        <v>1</v>
      </c>
      <c r="BM106" s="360">
        <v>1</v>
      </c>
      <c r="BN106" s="360">
        <v>1</v>
      </c>
      <c r="BO106" s="360">
        <v>1</v>
      </c>
      <c r="BP106" s="360">
        <v>1</v>
      </c>
      <c r="BQ106" s="360">
        <v>1</v>
      </c>
      <c r="BR106" s="360">
        <v>1</v>
      </c>
      <c r="BS106" s="360">
        <v>1</v>
      </c>
      <c r="BT106" s="360">
        <v>1</v>
      </c>
      <c r="BU106" s="360">
        <v>1</v>
      </c>
      <c r="BV106" s="360">
        <v>1</v>
      </c>
      <c r="BW106" s="360">
        <v>1</v>
      </c>
      <c r="BX106" s="360">
        <v>1</v>
      </c>
      <c r="BY106" s="360">
        <v>1</v>
      </c>
      <c r="BZ106" s="360">
        <v>1</v>
      </c>
      <c r="CA106" s="360">
        <v>1</v>
      </c>
      <c r="CB106" s="360">
        <v>1</v>
      </c>
      <c r="CC106" s="360">
        <v>1</v>
      </c>
      <c r="CD106" s="360">
        <v>1</v>
      </c>
      <c r="CE106" s="360">
        <v>1</v>
      </c>
      <c r="CF106" s="360">
        <v>1</v>
      </c>
      <c r="CG106" s="360">
        <v>1</v>
      </c>
      <c r="CH106" s="360">
        <v>1</v>
      </c>
      <c r="CI106" s="360">
        <v>1</v>
      </c>
      <c r="CJ106" s="360">
        <v>1</v>
      </c>
      <c r="CK106" s="360">
        <v>1</v>
      </c>
      <c r="CL106" s="360">
        <v>1</v>
      </c>
      <c r="CM106" s="360">
        <v>1</v>
      </c>
      <c r="CN106" s="360">
        <v>1</v>
      </c>
      <c r="CO106" s="360">
        <v>1</v>
      </c>
      <c r="CP106" s="360">
        <v>1</v>
      </c>
      <c r="CQ106" s="360">
        <v>1</v>
      </c>
      <c r="CR106" s="360">
        <v>1</v>
      </c>
      <c r="CS106" s="360">
        <v>1</v>
      </c>
      <c r="CT106" s="360">
        <v>1</v>
      </c>
      <c r="CU106" s="360">
        <v>1</v>
      </c>
      <c r="CV106" s="344"/>
    </row>
    <row r="107" spans="1:100" s="265" customFormat="1" ht="15.75" customHeight="1" outlineLevel="5">
      <c r="A107" s="347"/>
      <c r="B107" s="21"/>
      <c r="C107" s="84" t="s">
        <v>387</v>
      </c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>
        <v>1</v>
      </c>
      <c r="BD107" s="360">
        <v>1</v>
      </c>
      <c r="BE107" s="360">
        <v>1</v>
      </c>
      <c r="BF107" s="360">
        <v>1</v>
      </c>
      <c r="BG107" s="360">
        <v>1</v>
      </c>
      <c r="BH107" s="360">
        <v>1</v>
      </c>
      <c r="BI107" s="360">
        <v>1</v>
      </c>
      <c r="BJ107" s="360">
        <v>1</v>
      </c>
      <c r="BK107" s="360">
        <v>1</v>
      </c>
      <c r="BL107" s="360">
        <v>1</v>
      </c>
      <c r="BM107" s="360">
        <v>1</v>
      </c>
      <c r="BN107" s="360">
        <v>1</v>
      </c>
      <c r="BO107" s="360">
        <v>1</v>
      </c>
      <c r="BP107" s="360">
        <v>1</v>
      </c>
      <c r="BQ107" s="360">
        <v>1</v>
      </c>
      <c r="BR107" s="360">
        <v>1</v>
      </c>
      <c r="BS107" s="360">
        <v>1</v>
      </c>
      <c r="BT107" s="360">
        <v>1</v>
      </c>
      <c r="BU107" s="360">
        <v>1</v>
      </c>
      <c r="BV107" s="360">
        <v>1</v>
      </c>
      <c r="BW107" s="360">
        <v>1</v>
      </c>
      <c r="BX107" s="360">
        <v>1</v>
      </c>
      <c r="BY107" s="360">
        <v>1</v>
      </c>
      <c r="BZ107" s="360">
        <v>1</v>
      </c>
      <c r="CA107" s="360">
        <v>1</v>
      </c>
      <c r="CB107" s="360">
        <v>1</v>
      </c>
      <c r="CC107" s="360">
        <v>1</v>
      </c>
      <c r="CD107" s="360">
        <v>1</v>
      </c>
      <c r="CE107" s="360">
        <v>1</v>
      </c>
      <c r="CF107" s="360">
        <v>1</v>
      </c>
      <c r="CG107" s="360">
        <v>1</v>
      </c>
      <c r="CH107" s="360">
        <v>1</v>
      </c>
      <c r="CI107" s="360">
        <v>1</v>
      </c>
      <c r="CJ107" s="360">
        <v>1</v>
      </c>
      <c r="CK107" s="360">
        <v>1</v>
      </c>
      <c r="CL107" s="360">
        <v>1</v>
      </c>
      <c r="CM107" s="360">
        <v>1</v>
      </c>
      <c r="CN107" s="360">
        <v>1</v>
      </c>
      <c r="CO107" s="360">
        <v>1</v>
      </c>
      <c r="CP107" s="360">
        <v>1</v>
      </c>
      <c r="CQ107" s="360">
        <v>1</v>
      </c>
      <c r="CR107" s="360">
        <v>1</v>
      </c>
      <c r="CS107" s="360">
        <v>1</v>
      </c>
      <c r="CT107" s="360">
        <v>1</v>
      </c>
      <c r="CU107" s="360">
        <v>1</v>
      </c>
      <c r="CV107" s="344"/>
    </row>
    <row r="108" spans="1:100" ht="15.75" customHeight="1" outlineLevel="3">
      <c r="A108" s="34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</row>
    <row r="109" spans="1:100" ht="15.75" customHeight="1" outlineLevel="3">
      <c r="A109" s="347"/>
      <c r="B109" s="30">
        <v>1.3</v>
      </c>
      <c r="C109" s="31" t="s">
        <v>57</v>
      </c>
      <c r="D109" s="355">
        <f>SUM(D110)</f>
        <v>15000</v>
      </c>
      <c r="E109" s="355">
        <f t="shared" ref="E109:BP109" si="79">SUM(E110)</f>
        <v>0</v>
      </c>
      <c r="F109" s="355">
        <f t="shared" si="79"/>
        <v>0</v>
      </c>
      <c r="G109" s="355">
        <f t="shared" si="79"/>
        <v>0</v>
      </c>
      <c r="H109" s="355">
        <f t="shared" si="79"/>
        <v>0</v>
      </c>
      <c r="I109" s="355">
        <f t="shared" si="79"/>
        <v>0</v>
      </c>
      <c r="J109" s="355">
        <f t="shared" si="79"/>
        <v>0</v>
      </c>
      <c r="K109" s="355">
        <f t="shared" si="79"/>
        <v>0</v>
      </c>
      <c r="L109" s="355">
        <f t="shared" si="79"/>
        <v>0</v>
      </c>
      <c r="M109" s="355">
        <f t="shared" si="79"/>
        <v>0</v>
      </c>
      <c r="N109" s="355">
        <f t="shared" si="79"/>
        <v>0</v>
      </c>
      <c r="O109" s="355">
        <f t="shared" si="79"/>
        <v>0</v>
      </c>
      <c r="P109" s="355">
        <f t="shared" si="79"/>
        <v>3000</v>
      </c>
      <c r="Q109" s="355">
        <f t="shared" si="79"/>
        <v>0</v>
      </c>
      <c r="R109" s="355">
        <f t="shared" si="79"/>
        <v>0</v>
      </c>
      <c r="S109" s="355">
        <f t="shared" si="79"/>
        <v>0</v>
      </c>
      <c r="T109" s="355">
        <f t="shared" si="79"/>
        <v>0</v>
      </c>
      <c r="U109" s="355">
        <f t="shared" si="79"/>
        <v>0</v>
      </c>
      <c r="V109" s="355">
        <f t="shared" si="79"/>
        <v>0</v>
      </c>
      <c r="W109" s="355">
        <f t="shared" si="79"/>
        <v>0</v>
      </c>
      <c r="X109" s="355">
        <f t="shared" si="79"/>
        <v>0</v>
      </c>
      <c r="Y109" s="355">
        <f t="shared" si="79"/>
        <v>0</v>
      </c>
      <c r="Z109" s="355">
        <f t="shared" si="79"/>
        <v>0</v>
      </c>
      <c r="AA109" s="355">
        <f t="shared" si="79"/>
        <v>0</v>
      </c>
      <c r="AB109" s="355">
        <f t="shared" si="79"/>
        <v>3000</v>
      </c>
      <c r="AC109" s="355">
        <f t="shared" si="79"/>
        <v>0</v>
      </c>
      <c r="AD109" s="355">
        <f t="shared" si="79"/>
        <v>0</v>
      </c>
      <c r="AE109" s="355">
        <f t="shared" si="79"/>
        <v>0</v>
      </c>
      <c r="AF109" s="355">
        <f t="shared" si="79"/>
        <v>0</v>
      </c>
      <c r="AG109" s="355">
        <f t="shared" si="79"/>
        <v>0</v>
      </c>
      <c r="AH109" s="355">
        <f t="shared" si="79"/>
        <v>0</v>
      </c>
      <c r="AI109" s="355">
        <f t="shared" si="79"/>
        <v>0</v>
      </c>
      <c r="AJ109" s="355">
        <f t="shared" si="79"/>
        <v>0</v>
      </c>
      <c r="AK109" s="355">
        <f t="shared" si="79"/>
        <v>0</v>
      </c>
      <c r="AL109" s="355">
        <f t="shared" si="79"/>
        <v>0</v>
      </c>
      <c r="AM109" s="355">
        <f t="shared" si="79"/>
        <v>0</v>
      </c>
      <c r="AN109" s="355">
        <f t="shared" si="79"/>
        <v>4000</v>
      </c>
      <c r="AO109" s="355">
        <f t="shared" si="79"/>
        <v>0</v>
      </c>
      <c r="AP109" s="355">
        <f t="shared" si="79"/>
        <v>0</v>
      </c>
      <c r="AQ109" s="355">
        <f t="shared" si="79"/>
        <v>0</v>
      </c>
      <c r="AR109" s="355">
        <f t="shared" si="79"/>
        <v>0</v>
      </c>
      <c r="AS109" s="355">
        <f t="shared" si="79"/>
        <v>0</v>
      </c>
      <c r="AT109" s="355">
        <f t="shared" si="79"/>
        <v>0</v>
      </c>
      <c r="AU109" s="355">
        <f t="shared" si="79"/>
        <v>0</v>
      </c>
      <c r="AV109" s="355">
        <f t="shared" si="79"/>
        <v>0</v>
      </c>
      <c r="AW109" s="355">
        <f t="shared" si="79"/>
        <v>0</v>
      </c>
      <c r="AX109" s="355">
        <f t="shared" si="79"/>
        <v>0</v>
      </c>
      <c r="AY109" s="355">
        <f t="shared" si="79"/>
        <v>0</v>
      </c>
      <c r="AZ109" s="355">
        <f t="shared" si="79"/>
        <v>5000</v>
      </c>
      <c r="BA109" s="355">
        <f t="shared" si="79"/>
        <v>0</v>
      </c>
      <c r="BB109" s="355">
        <f t="shared" si="79"/>
        <v>0</v>
      </c>
      <c r="BC109" s="355">
        <f t="shared" si="79"/>
        <v>5000</v>
      </c>
      <c r="BD109" s="355">
        <f t="shared" si="79"/>
        <v>0</v>
      </c>
      <c r="BE109" s="355">
        <f t="shared" si="79"/>
        <v>0</v>
      </c>
      <c r="BF109" s="355">
        <f t="shared" si="79"/>
        <v>0</v>
      </c>
      <c r="BG109" s="355">
        <f t="shared" si="79"/>
        <v>0</v>
      </c>
      <c r="BH109" s="355">
        <f t="shared" si="79"/>
        <v>0</v>
      </c>
      <c r="BI109" s="355">
        <f t="shared" si="79"/>
        <v>0</v>
      </c>
      <c r="BJ109" s="355">
        <f t="shared" si="79"/>
        <v>0</v>
      </c>
      <c r="BK109" s="355">
        <f t="shared" si="79"/>
        <v>0</v>
      </c>
      <c r="BL109" s="355">
        <f t="shared" si="79"/>
        <v>5000</v>
      </c>
      <c r="BM109" s="355">
        <f t="shared" si="79"/>
        <v>0</v>
      </c>
      <c r="BN109" s="355">
        <f t="shared" si="79"/>
        <v>0</v>
      </c>
      <c r="BO109" s="355">
        <f t="shared" si="79"/>
        <v>0</v>
      </c>
      <c r="BP109" s="355">
        <f t="shared" si="79"/>
        <v>0</v>
      </c>
      <c r="BQ109" s="355">
        <f t="shared" ref="BQ109:CU109" si="80">SUM(BQ110)</f>
        <v>0</v>
      </c>
      <c r="BR109" s="355">
        <f t="shared" si="80"/>
        <v>0</v>
      </c>
      <c r="BS109" s="355">
        <f t="shared" si="80"/>
        <v>0</v>
      </c>
      <c r="BT109" s="355">
        <f t="shared" si="80"/>
        <v>0</v>
      </c>
      <c r="BU109" s="355">
        <f t="shared" si="80"/>
        <v>0</v>
      </c>
      <c r="BV109" s="355">
        <f t="shared" si="80"/>
        <v>0</v>
      </c>
      <c r="BW109" s="355">
        <f t="shared" si="80"/>
        <v>0</v>
      </c>
      <c r="BX109" s="355">
        <f t="shared" si="80"/>
        <v>5000</v>
      </c>
      <c r="BY109" s="355">
        <f t="shared" si="80"/>
        <v>0</v>
      </c>
      <c r="BZ109" s="355">
        <f t="shared" si="80"/>
        <v>0</v>
      </c>
      <c r="CA109" s="355">
        <f t="shared" si="80"/>
        <v>0</v>
      </c>
      <c r="CB109" s="355">
        <f t="shared" si="80"/>
        <v>0</v>
      </c>
      <c r="CC109" s="355">
        <f t="shared" si="80"/>
        <v>0</v>
      </c>
      <c r="CD109" s="355">
        <f t="shared" si="80"/>
        <v>0</v>
      </c>
      <c r="CE109" s="355">
        <f t="shared" si="80"/>
        <v>0</v>
      </c>
      <c r="CF109" s="355">
        <f t="shared" si="80"/>
        <v>0</v>
      </c>
      <c r="CG109" s="355">
        <f t="shared" si="80"/>
        <v>0</v>
      </c>
      <c r="CH109" s="355">
        <f t="shared" si="80"/>
        <v>0</v>
      </c>
      <c r="CI109" s="355">
        <f t="shared" si="80"/>
        <v>0</v>
      </c>
      <c r="CJ109" s="355">
        <f t="shared" si="80"/>
        <v>5000</v>
      </c>
      <c r="CK109" s="355">
        <f t="shared" si="80"/>
        <v>0</v>
      </c>
      <c r="CL109" s="355">
        <f t="shared" si="80"/>
        <v>0</v>
      </c>
      <c r="CM109" s="355">
        <f t="shared" si="80"/>
        <v>0</v>
      </c>
      <c r="CN109" s="355">
        <f t="shared" si="80"/>
        <v>0</v>
      </c>
      <c r="CO109" s="355">
        <f t="shared" si="80"/>
        <v>0</v>
      </c>
      <c r="CP109" s="355">
        <f t="shared" si="80"/>
        <v>0</v>
      </c>
      <c r="CQ109" s="355">
        <f t="shared" si="80"/>
        <v>0</v>
      </c>
      <c r="CR109" s="355">
        <f t="shared" si="80"/>
        <v>0</v>
      </c>
      <c r="CS109" s="355">
        <f t="shared" si="80"/>
        <v>0</v>
      </c>
      <c r="CT109" s="355">
        <f t="shared" si="80"/>
        <v>0</v>
      </c>
      <c r="CU109" s="355">
        <f t="shared" si="80"/>
        <v>0</v>
      </c>
    </row>
    <row r="110" spans="1:100" ht="15.75" customHeight="1" outlineLevel="4">
      <c r="A110" s="347"/>
      <c r="B110" s="21"/>
      <c r="C110" s="84" t="s">
        <v>58</v>
      </c>
      <c r="D110" s="53">
        <v>15000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363">
        <v>3000</v>
      </c>
      <c r="Q110" s="53"/>
      <c r="R110" s="53"/>
      <c r="S110" s="53"/>
      <c r="T110" s="53"/>
      <c r="U110" s="53"/>
      <c r="V110" s="363"/>
      <c r="W110" s="363"/>
      <c r="X110" s="363"/>
      <c r="Y110" s="363"/>
      <c r="Z110" s="363"/>
      <c r="AA110" s="363"/>
      <c r="AB110" s="363">
        <v>3000</v>
      </c>
      <c r="AC110" s="363"/>
      <c r="AD110" s="363"/>
      <c r="AE110" s="363"/>
      <c r="AF110" s="363"/>
      <c r="AG110" s="363"/>
      <c r="AH110" s="363"/>
      <c r="AI110" s="363"/>
      <c r="AJ110" s="363"/>
      <c r="AK110" s="363"/>
      <c r="AL110" s="363"/>
      <c r="AM110" s="363"/>
      <c r="AN110" s="363">
        <v>4000</v>
      </c>
      <c r="AO110" s="363"/>
      <c r="AP110" s="363"/>
      <c r="AQ110" s="363"/>
      <c r="AR110" s="363"/>
      <c r="AS110" s="363"/>
      <c r="AT110" s="363"/>
      <c r="AU110" s="363"/>
      <c r="AV110" s="363"/>
      <c r="AW110" s="363"/>
      <c r="AX110" s="363"/>
      <c r="AY110" s="363"/>
      <c r="AZ110" s="363">
        <v>5000</v>
      </c>
      <c r="BA110" s="364"/>
      <c r="BB110" s="364"/>
      <c r="BC110" s="363">
        <v>5000</v>
      </c>
      <c r="BD110" s="364"/>
      <c r="BE110" s="364"/>
      <c r="BF110" s="364"/>
      <c r="BG110" s="364"/>
      <c r="BH110" s="364"/>
      <c r="BI110" s="364"/>
      <c r="BJ110" s="364"/>
      <c r="BK110" s="364"/>
      <c r="BL110" s="363">
        <v>5000</v>
      </c>
      <c r="BM110" s="364"/>
      <c r="BN110" s="364"/>
      <c r="BO110" s="364"/>
      <c r="BP110" s="364"/>
      <c r="BQ110" s="364"/>
      <c r="BR110" s="364"/>
      <c r="BS110" s="364"/>
      <c r="BT110" s="364"/>
      <c r="BU110" s="364"/>
      <c r="BV110" s="364"/>
      <c r="BW110" s="364"/>
      <c r="BX110" s="363">
        <v>5000</v>
      </c>
      <c r="BY110" s="364"/>
      <c r="BZ110" s="364"/>
      <c r="CA110" s="364"/>
      <c r="CB110" s="364"/>
      <c r="CC110" s="364"/>
      <c r="CD110" s="364"/>
      <c r="CE110" s="364"/>
      <c r="CF110" s="364"/>
      <c r="CG110" s="364"/>
      <c r="CH110" s="364"/>
      <c r="CI110" s="364"/>
      <c r="CJ110" s="363">
        <v>5000</v>
      </c>
      <c r="CK110" s="364"/>
      <c r="CL110" s="364"/>
      <c r="CM110" s="364"/>
      <c r="CN110" s="364"/>
      <c r="CO110" s="364"/>
      <c r="CP110" s="364"/>
      <c r="CQ110" s="364"/>
      <c r="CR110" s="364"/>
      <c r="CS110" s="364"/>
      <c r="CT110" s="364"/>
      <c r="CU110" s="364"/>
    </row>
    <row r="111" spans="1:100" ht="15.75" customHeight="1" outlineLevel="3">
      <c r="A111" s="347"/>
      <c r="B111" s="21"/>
      <c r="C111" s="29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</row>
    <row r="112" spans="1:100" ht="15.75" customHeight="1" outlineLevel="3">
      <c r="A112" s="347"/>
      <c r="B112" s="30">
        <v>1.4</v>
      </c>
      <c r="C112" s="31" t="s">
        <v>59</v>
      </c>
      <c r="D112" s="355">
        <f t="shared" ref="D112:BB112" si="81">SUM(D113:D126)</f>
        <v>269000</v>
      </c>
      <c r="E112" s="355">
        <f t="shared" si="81"/>
        <v>0</v>
      </c>
      <c r="F112" s="355">
        <f t="shared" si="81"/>
        <v>0</v>
      </c>
      <c r="G112" s="355">
        <f t="shared" si="81"/>
        <v>0</v>
      </c>
      <c r="H112" s="355">
        <f t="shared" si="81"/>
        <v>0</v>
      </c>
      <c r="I112" s="355">
        <f t="shared" si="81"/>
        <v>0</v>
      </c>
      <c r="J112" s="355">
        <f t="shared" si="81"/>
        <v>0</v>
      </c>
      <c r="K112" s="355">
        <f t="shared" si="81"/>
        <v>0</v>
      </c>
      <c r="L112" s="355">
        <f t="shared" si="81"/>
        <v>0</v>
      </c>
      <c r="M112" s="355">
        <f t="shared" si="81"/>
        <v>0</v>
      </c>
      <c r="N112" s="355">
        <f t="shared" si="81"/>
        <v>0</v>
      </c>
      <c r="O112" s="355">
        <f t="shared" si="81"/>
        <v>5000</v>
      </c>
      <c r="P112" s="355">
        <f t="shared" si="81"/>
        <v>0</v>
      </c>
      <c r="Q112" s="355">
        <f t="shared" si="81"/>
        <v>0</v>
      </c>
      <c r="R112" s="355">
        <f t="shared" si="81"/>
        <v>0</v>
      </c>
      <c r="S112" s="355">
        <f t="shared" si="81"/>
        <v>0</v>
      </c>
      <c r="T112" s="355">
        <f t="shared" si="81"/>
        <v>0</v>
      </c>
      <c r="U112" s="355">
        <f t="shared" si="81"/>
        <v>0</v>
      </c>
      <c r="V112" s="355">
        <f t="shared" si="81"/>
        <v>0</v>
      </c>
      <c r="W112" s="355">
        <f t="shared" si="81"/>
        <v>0</v>
      </c>
      <c r="X112" s="355">
        <f t="shared" si="81"/>
        <v>0</v>
      </c>
      <c r="Y112" s="355">
        <f t="shared" si="81"/>
        <v>2000</v>
      </c>
      <c r="Z112" s="355">
        <f t="shared" si="81"/>
        <v>0</v>
      </c>
      <c r="AA112" s="355">
        <f t="shared" si="81"/>
        <v>5000</v>
      </c>
      <c r="AB112" s="355">
        <f t="shared" si="81"/>
        <v>0</v>
      </c>
      <c r="AC112" s="355">
        <f t="shared" si="81"/>
        <v>0</v>
      </c>
      <c r="AD112" s="355">
        <f t="shared" si="81"/>
        <v>0</v>
      </c>
      <c r="AE112" s="355">
        <f t="shared" si="81"/>
        <v>20000</v>
      </c>
      <c r="AF112" s="355">
        <f t="shared" si="81"/>
        <v>0</v>
      </c>
      <c r="AG112" s="355">
        <f t="shared" si="81"/>
        <v>0</v>
      </c>
      <c r="AH112" s="355">
        <f t="shared" si="81"/>
        <v>0</v>
      </c>
      <c r="AI112" s="355">
        <f t="shared" si="81"/>
        <v>0</v>
      </c>
      <c r="AJ112" s="355">
        <f t="shared" si="81"/>
        <v>0</v>
      </c>
      <c r="AK112" s="355">
        <f t="shared" si="81"/>
        <v>0</v>
      </c>
      <c r="AL112" s="355">
        <f t="shared" si="81"/>
        <v>0</v>
      </c>
      <c r="AM112" s="355">
        <f t="shared" si="81"/>
        <v>5000</v>
      </c>
      <c r="AN112" s="355">
        <f t="shared" si="81"/>
        <v>115000</v>
      </c>
      <c r="AO112" s="355">
        <f t="shared" si="81"/>
        <v>0</v>
      </c>
      <c r="AP112" s="355">
        <f t="shared" si="81"/>
        <v>0</v>
      </c>
      <c r="AQ112" s="355">
        <f t="shared" si="81"/>
        <v>0</v>
      </c>
      <c r="AR112" s="355">
        <f t="shared" si="81"/>
        <v>0</v>
      </c>
      <c r="AS112" s="355">
        <f t="shared" si="81"/>
        <v>0</v>
      </c>
      <c r="AT112" s="355">
        <f t="shared" si="81"/>
        <v>0</v>
      </c>
      <c r="AU112" s="355">
        <f t="shared" si="81"/>
        <v>0</v>
      </c>
      <c r="AV112" s="355">
        <f t="shared" si="81"/>
        <v>0</v>
      </c>
      <c r="AW112" s="355">
        <f t="shared" si="81"/>
        <v>0</v>
      </c>
      <c r="AX112" s="355">
        <f t="shared" si="81"/>
        <v>50000</v>
      </c>
      <c r="AY112" s="355">
        <f t="shared" si="81"/>
        <v>86000</v>
      </c>
      <c r="AZ112" s="355">
        <f t="shared" si="81"/>
        <v>400</v>
      </c>
      <c r="BA112" s="355">
        <f t="shared" si="81"/>
        <v>400</v>
      </c>
      <c r="BB112" s="355">
        <f t="shared" si="81"/>
        <v>400</v>
      </c>
      <c r="BC112" s="355">
        <f>SUM(BC113:BC126)</f>
        <v>780400</v>
      </c>
      <c r="BD112" s="355">
        <f t="shared" ref="BD112:CU112" si="82">SUM(BD113:BD126)</f>
        <v>400</v>
      </c>
      <c r="BE112" s="355">
        <f t="shared" si="82"/>
        <v>400</v>
      </c>
      <c r="BF112" s="355">
        <f t="shared" si="82"/>
        <v>400</v>
      </c>
      <c r="BG112" s="355">
        <f t="shared" si="82"/>
        <v>400</v>
      </c>
      <c r="BH112" s="355">
        <f t="shared" si="82"/>
        <v>400</v>
      </c>
      <c r="BI112" s="355">
        <f t="shared" si="82"/>
        <v>400</v>
      </c>
      <c r="BJ112" s="355">
        <f t="shared" si="82"/>
        <v>400</v>
      </c>
      <c r="BK112" s="355">
        <f t="shared" si="82"/>
        <v>7400</v>
      </c>
      <c r="BL112" s="355">
        <f t="shared" si="82"/>
        <v>100400</v>
      </c>
      <c r="BM112" s="355">
        <f t="shared" si="82"/>
        <v>400</v>
      </c>
      <c r="BN112" s="355">
        <f t="shared" si="82"/>
        <v>400</v>
      </c>
      <c r="BO112" s="355">
        <f t="shared" si="82"/>
        <v>400</v>
      </c>
      <c r="BP112" s="355">
        <f t="shared" si="82"/>
        <v>400</v>
      </c>
      <c r="BQ112" s="355">
        <f t="shared" si="82"/>
        <v>400</v>
      </c>
      <c r="BR112" s="355">
        <f t="shared" si="82"/>
        <v>400</v>
      </c>
      <c r="BS112" s="355">
        <f t="shared" si="82"/>
        <v>400</v>
      </c>
      <c r="BT112" s="355">
        <f t="shared" si="82"/>
        <v>400</v>
      </c>
      <c r="BU112" s="355">
        <f t="shared" si="82"/>
        <v>400</v>
      </c>
      <c r="BV112" s="355">
        <f t="shared" si="82"/>
        <v>400</v>
      </c>
      <c r="BW112" s="355">
        <f t="shared" si="82"/>
        <v>7400</v>
      </c>
      <c r="BX112" s="355">
        <f t="shared" si="82"/>
        <v>400</v>
      </c>
      <c r="BY112" s="355">
        <f t="shared" si="82"/>
        <v>400</v>
      </c>
      <c r="BZ112" s="355">
        <f t="shared" si="82"/>
        <v>400</v>
      </c>
      <c r="CA112" s="355">
        <f t="shared" si="82"/>
        <v>400</v>
      </c>
      <c r="CB112" s="355">
        <f t="shared" si="82"/>
        <v>400</v>
      </c>
      <c r="CC112" s="355">
        <f t="shared" si="82"/>
        <v>400</v>
      </c>
      <c r="CD112" s="355">
        <f>SUM(CD113:CD126)</f>
        <v>400</v>
      </c>
      <c r="CE112" s="355">
        <f t="shared" si="82"/>
        <v>400</v>
      </c>
      <c r="CF112" s="355">
        <f t="shared" si="82"/>
        <v>400</v>
      </c>
      <c r="CG112" s="355">
        <f t="shared" si="82"/>
        <v>400</v>
      </c>
      <c r="CH112" s="355">
        <f t="shared" si="82"/>
        <v>400</v>
      </c>
      <c r="CI112" s="355">
        <f t="shared" si="82"/>
        <v>7400</v>
      </c>
      <c r="CJ112" s="355">
        <f>SUM(CJ113:CJ126)</f>
        <v>120400</v>
      </c>
      <c r="CK112" s="355">
        <f t="shared" si="82"/>
        <v>400</v>
      </c>
      <c r="CL112" s="355">
        <f t="shared" si="82"/>
        <v>400</v>
      </c>
      <c r="CM112" s="355">
        <f t="shared" si="82"/>
        <v>400</v>
      </c>
      <c r="CN112" s="355">
        <f t="shared" si="82"/>
        <v>400</v>
      </c>
      <c r="CO112" s="355">
        <f t="shared" si="82"/>
        <v>400</v>
      </c>
      <c r="CP112" s="355">
        <f t="shared" si="82"/>
        <v>400</v>
      </c>
      <c r="CQ112" s="355">
        <f t="shared" si="82"/>
        <v>400</v>
      </c>
      <c r="CR112" s="355">
        <f t="shared" si="82"/>
        <v>400</v>
      </c>
      <c r="CS112" s="355">
        <f t="shared" si="82"/>
        <v>400</v>
      </c>
      <c r="CT112" s="355">
        <f t="shared" si="82"/>
        <v>400</v>
      </c>
      <c r="CU112" s="355">
        <f t="shared" si="82"/>
        <v>7400</v>
      </c>
      <c r="CV112" s="265"/>
    </row>
    <row r="113" spans="1:100" ht="15.75" customHeight="1" outlineLevel="4">
      <c r="A113" s="347"/>
      <c r="B113" s="21"/>
      <c r="C113" s="84" t="s">
        <v>51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>
        <v>5000</v>
      </c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>
        <v>5000</v>
      </c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>
        <v>5000</v>
      </c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>
        <v>6000</v>
      </c>
      <c r="AZ113" s="365"/>
      <c r="BA113" s="366"/>
      <c r="BB113" s="366"/>
      <c r="BC113" s="366"/>
      <c r="BD113" s="366"/>
      <c r="BE113" s="366"/>
      <c r="BF113" s="366"/>
      <c r="BG113" s="366"/>
      <c r="BH113" s="53"/>
      <c r="BI113" s="366"/>
      <c r="BJ113" s="366"/>
      <c r="BK113" s="53">
        <v>7000</v>
      </c>
      <c r="BL113" s="365"/>
      <c r="BM113" s="366"/>
      <c r="BN113" s="366"/>
      <c r="BO113" s="366"/>
      <c r="BP113" s="366"/>
      <c r="BQ113" s="366"/>
      <c r="BR113" s="366"/>
      <c r="BS113" s="366"/>
      <c r="BT113" s="53"/>
      <c r="BU113" s="366"/>
      <c r="BV113" s="366"/>
      <c r="BW113" s="53">
        <v>7000</v>
      </c>
      <c r="BX113" s="365"/>
      <c r="BY113" s="366"/>
      <c r="BZ113" s="366"/>
      <c r="CA113" s="366"/>
      <c r="CB113" s="366"/>
      <c r="CC113" s="366"/>
      <c r="CD113" s="366"/>
      <c r="CE113" s="366"/>
      <c r="CF113" s="53"/>
      <c r="CG113" s="366"/>
      <c r="CH113" s="366"/>
      <c r="CI113" s="53">
        <v>7000</v>
      </c>
      <c r="CJ113" s="365"/>
      <c r="CK113" s="366"/>
      <c r="CL113" s="366"/>
      <c r="CM113" s="366"/>
      <c r="CN113" s="366"/>
      <c r="CO113" s="366"/>
      <c r="CP113" s="366"/>
      <c r="CQ113" s="366"/>
      <c r="CR113" s="53"/>
      <c r="CS113" s="366"/>
      <c r="CT113" s="366"/>
      <c r="CU113" s="53">
        <v>7000</v>
      </c>
    </row>
    <row r="114" spans="1:100" ht="15.75" customHeight="1" outlineLevel="4">
      <c r="A114" s="347"/>
      <c r="B114" s="21"/>
      <c r="C114" s="84" t="s">
        <v>60</v>
      </c>
      <c r="D114" s="53">
        <v>70000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367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365"/>
      <c r="BA114" s="366"/>
      <c r="BB114" s="366"/>
      <c r="BC114" s="53">
        <v>200000</v>
      </c>
      <c r="BD114" s="366"/>
      <c r="BE114" s="366"/>
      <c r="BF114" s="366"/>
      <c r="BG114" s="366"/>
      <c r="BH114" s="366"/>
      <c r="BI114" s="366"/>
      <c r="BJ114" s="366"/>
      <c r="BK114" s="368"/>
      <c r="BL114" s="365"/>
      <c r="BM114" s="366"/>
      <c r="BN114" s="366"/>
      <c r="BO114" s="366"/>
      <c r="BP114" s="366"/>
      <c r="BQ114" s="366"/>
      <c r="BR114" s="366"/>
      <c r="BS114" s="366"/>
      <c r="BT114" s="366"/>
      <c r="BU114" s="366"/>
      <c r="BV114" s="366"/>
      <c r="BW114" s="368"/>
      <c r="BX114" s="365"/>
      <c r="BY114" s="366"/>
      <c r="BZ114" s="366"/>
      <c r="CA114" s="366"/>
      <c r="CB114" s="366"/>
      <c r="CC114" s="366"/>
      <c r="CD114" s="366"/>
      <c r="CE114" s="366"/>
      <c r="CF114" s="366"/>
      <c r="CG114" s="366"/>
      <c r="CH114" s="366"/>
      <c r="CI114" s="368"/>
      <c r="CJ114" s="365"/>
      <c r="CK114" s="366"/>
      <c r="CL114" s="366"/>
      <c r="CM114" s="366"/>
      <c r="CN114" s="366"/>
      <c r="CO114" s="366"/>
      <c r="CP114" s="366"/>
      <c r="CQ114" s="366"/>
      <c r="CR114" s="366"/>
      <c r="CS114" s="366"/>
      <c r="CT114" s="366"/>
      <c r="CU114" s="368"/>
    </row>
    <row r="115" spans="1:100" ht="15.75" customHeight="1" outlineLevel="4">
      <c r="A115" s="347"/>
      <c r="B115" s="21"/>
      <c r="C115" s="84" t="s">
        <v>61</v>
      </c>
      <c r="D115" s="53">
        <v>12000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367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365"/>
      <c r="BA115" s="366"/>
      <c r="BB115" s="366"/>
      <c r="BC115" s="53">
        <v>200000</v>
      </c>
      <c r="BD115" s="366"/>
      <c r="BE115" s="366"/>
      <c r="BF115" s="366"/>
      <c r="BG115" s="366"/>
      <c r="BH115" s="366"/>
      <c r="BI115" s="366"/>
      <c r="BJ115" s="366"/>
      <c r="BK115" s="368"/>
      <c r="BL115" s="365"/>
      <c r="BM115" s="366"/>
      <c r="BN115" s="366"/>
      <c r="BO115" s="366"/>
      <c r="BP115" s="366"/>
      <c r="BQ115" s="366"/>
      <c r="BR115" s="366"/>
      <c r="BS115" s="366"/>
      <c r="BT115" s="366"/>
      <c r="BU115" s="366"/>
      <c r="BV115" s="366"/>
      <c r="BW115" s="368"/>
      <c r="BX115" s="365"/>
      <c r="BY115" s="366"/>
      <c r="BZ115" s="366"/>
      <c r="CA115" s="366"/>
      <c r="CB115" s="366"/>
      <c r="CC115" s="366"/>
      <c r="CD115" s="366"/>
      <c r="CE115" s="366"/>
      <c r="CF115" s="366"/>
      <c r="CG115" s="366"/>
      <c r="CH115" s="366"/>
      <c r="CI115" s="368"/>
      <c r="CJ115" s="365"/>
      <c r="CK115" s="366"/>
      <c r="CL115" s="366"/>
      <c r="CM115" s="366"/>
      <c r="CN115" s="366"/>
      <c r="CO115" s="366"/>
      <c r="CP115" s="366"/>
      <c r="CQ115" s="366"/>
      <c r="CR115" s="366"/>
      <c r="CS115" s="366"/>
      <c r="CT115" s="366"/>
      <c r="CU115" s="368"/>
    </row>
    <row r="116" spans="1:100" ht="15.75" customHeight="1" outlineLevel="4">
      <c r="A116" s="347"/>
      <c r="B116" s="21"/>
      <c r="C116" s="84" t="s">
        <v>62</v>
      </c>
      <c r="D116" s="53">
        <v>16000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365"/>
      <c r="BA116" s="366"/>
      <c r="BB116" s="366"/>
      <c r="BC116" s="53"/>
      <c r="BD116" s="366"/>
      <c r="BE116" s="366"/>
      <c r="BF116" s="366"/>
      <c r="BG116" s="366"/>
      <c r="BH116" s="366"/>
      <c r="BI116" s="366"/>
      <c r="BJ116" s="366"/>
      <c r="BK116" s="368"/>
      <c r="BL116" s="365"/>
      <c r="BM116" s="366"/>
      <c r="BN116" s="366"/>
      <c r="BO116" s="366"/>
      <c r="BP116" s="366"/>
      <c r="BQ116" s="366"/>
      <c r="BR116" s="366"/>
      <c r="BS116" s="366"/>
      <c r="BT116" s="366"/>
      <c r="BU116" s="366"/>
      <c r="BV116" s="366"/>
      <c r="BW116" s="368"/>
      <c r="BX116" s="365"/>
      <c r="BY116" s="366"/>
      <c r="BZ116" s="366"/>
      <c r="CA116" s="366"/>
      <c r="CB116" s="366"/>
      <c r="CC116" s="366"/>
      <c r="CD116" s="366"/>
      <c r="CE116" s="366"/>
      <c r="CF116" s="366"/>
      <c r="CG116" s="366"/>
      <c r="CH116" s="366"/>
      <c r="CI116" s="368"/>
      <c r="CJ116" s="365"/>
      <c r="CK116" s="366"/>
      <c r="CL116" s="366"/>
      <c r="CM116" s="366"/>
      <c r="CN116" s="366"/>
      <c r="CO116" s="366"/>
      <c r="CP116" s="366"/>
      <c r="CQ116" s="366"/>
      <c r="CR116" s="366"/>
      <c r="CS116" s="366"/>
      <c r="CT116" s="366"/>
      <c r="CU116" s="368"/>
    </row>
    <row r="117" spans="1:100" ht="15.75" customHeight="1" outlineLevel="4">
      <c r="A117" s="347"/>
      <c r="B117" s="21"/>
      <c r="C117" s="84" t="s">
        <v>63</v>
      </c>
      <c r="D117" s="53">
        <v>50000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>
        <v>15000</v>
      </c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</row>
    <row r="118" spans="1:100" ht="15.75" customHeight="1" outlineLevel="4">
      <c r="A118" s="347"/>
      <c r="B118" s="21"/>
      <c r="C118" s="84" t="s">
        <v>64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>
        <v>400</v>
      </c>
      <c r="BA118" s="53">
        <v>400</v>
      </c>
      <c r="BB118" s="53">
        <v>400</v>
      </c>
      <c r="BC118" s="53">
        <v>400</v>
      </c>
      <c r="BD118" s="53">
        <v>400</v>
      </c>
      <c r="BE118" s="53">
        <v>400</v>
      </c>
      <c r="BF118" s="53">
        <v>400</v>
      </c>
      <c r="BG118" s="53">
        <v>400</v>
      </c>
      <c r="BH118" s="53">
        <v>400</v>
      </c>
      <c r="BI118" s="53">
        <v>400</v>
      </c>
      <c r="BJ118" s="53">
        <v>400</v>
      </c>
      <c r="BK118" s="53">
        <v>400</v>
      </c>
      <c r="BL118" s="53">
        <v>400</v>
      </c>
      <c r="BM118" s="53">
        <v>400</v>
      </c>
      <c r="BN118" s="53">
        <v>400</v>
      </c>
      <c r="BO118" s="53">
        <v>400</v>
      </c>
      <c r="BP118" s="53">
        <v>400</v>
      </c>
      <c r="BQ118" s="53">
        <v>400</v>
      </c>
      <c r="BR118" s="53">
        <v>400</v>
      </c>
      <c r="BS118" s="53">
        <v>400</v>
      </c>
      <c r="BT118" s="53">
        <v>400</v>
      </c>
      <c r="BU118" s="53">
        <v>400</v>
      </c>
      <c r="BV118" s="53">
        <v>400</v>
      </c>
      <c r="BW118" s="53">
        <v>400</v>
      </c>
      <c r="BX118" s="53">
        <v>400</v>
      </c>
      <c r="BY118" s="53">
        <v>400</v>
      </c>
      <c r="BZ118" s="53">
        <v>400</v>
      </c>
      <c r="CA118" s="53">
        <v>400</v>
      </c>
      <c r="CB118" s="53">
        <v>400</v>
      </c>
      <c r="CC118" s="53">
        <v>400</v>
      </c>
      <c r="CD118" s="53">
        <v>400</v>
      </c>
      <c r="CE118" s="53">
        <v>400</v>
      </c>
      <c r="CF118" s="53">
        <v>400</v>
      </c>
      <c r="CG118" s="53">
        <v>400</v>
      </c>
      <c r="CH118" s="53">
        <v>400</v>
      </c>
      <c r="CI118" s="53">
        <v>400</v>
      </c>
      <c r="CJ118" s="53">
        <v>400</v>
      </c>
      <c r="CK118" s="53">
        <v>400</v>
      </c>
      <c r="CL118" s="53">
        <v>400</v>
      </c>
      <c r="CM118" s="53">
        <v>400</v>
      </c>
      <c r="CN118" s="53">
        <v>400</v>
      </c>
      <c r="CO118" s="53">
        <v>400</v>
      </c>
      <c r="CP118" s="53">
        <v>400</v>
      </c>
      <c r="CQ118" s="53">
        <v>400</v>
      </c>
      <c r="CR118" s="53">
        <v>400</v>
      </c>
      <c r="CS118" s="53">
        <v>400</v>
      </c>
      <c r="CT118" s="53">
        <v>400</v>
      </c>
      <c r="CU118" s="53">
        <v>400</v>
      </c>
      <c r="CV118" s="3"/>
    </row>
    <row r="119" spans="1:100" ht="15" customHeight="1" outlineLevel="4">
      <c r="A119" s="347"/>
      <c r="B119" s="21"/>
      <c r="C119" s="88" t="s">
        <v>65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>
        <v>80000</v>
      </c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</row>
    <row r="120" spans="1:100" ht="15" customHeight="1" outlineLevel="4">
      <c r="A120" s="347"/>
      <c r="B120" s="21"/>
      <c r="C120" s="88" t="s">
        <v>66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>
        <v>2000</v>
      </c>
      <c r="Z120" s="53"/>
      <c r="AA120" s="53"/>
      <c r="AB120" s="53"/>
      <c r="AC120" s="53"/>
      <c r="AD120" s="53"/>
      <c r="AE120" s="53">
        <v>20000</v>
      </c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>
        <v>50000</v>
      </c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</row>
    <row r="121" spans="1:100" ht="15.75" customHeight="1" outlineLevel="4">
      <c r="A121" s="347"/>
      <c r="B121" s="21"/>
      <c r="C121" s="84" t="s">
        <v>67</v>
      </c>
      <c r="D121" s="53">
        <v>65000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367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365"/>
      <c r="BA121" s="366"/>
      <c r="BB121" s="366"/>
      <c r="BC121" s="53">
        <v>50000</v>
      </c>
      <c r="BD121" s="366"/>
      <c r="BE121" s="366"/>
      <c r="BF121" s="366"/>
      <c r="BG121" s="366"/>
      <c r="BH121" s="366"/>
      <c r="BI121" s="366"/>
      <c r="BJ121" s="366"/>
      <c r="BK121" s="368"/>
      <c r="BL121" s="365"/>
      <c r="BM121" s="366"/>
      <c r="BN121" s="366"/>
      <c r="BO121" s="366"/>
      <c r="BP121" s="366"/>
      <c r="BQ121" s="366"/>
      <c r="BR121" s="366"/>
      <c r="BS121" s="366"/>
      <c r="BT121" s="366"/>
      <c r="BU121" s="366"/>
      <c r="BV121" s="366"/>
      <c r="BW121" s="368"/>
      <c r="BX121" s="365"/>
      <c r="BY121" s="366"/>
      <c r="BZ121" s="366"/>
      <c r="CA121" s="366"/>
      <c r="CB121" s="366"/>
      <c r="CC121" s="366"/>
      <c r="CD121" s="366"/>
      <c r="CE121" s="366"/>
      <c r="CF121" s="366"/>
      <c r="CG121" s="366"/>
      <c r="CH121" s="366"/>
      <c r="CI121" s="368"/>
      <c r="CJ121" s="365"/>
      <c r="CK121" s="366"/>
      <c r="CL121" s="366"/>
      <c r="CM121" s="366"/>
      <c r="CN121" s="366"/>
      <c r="CO121" s="366"/>
      <c r="CP121" s="366"/>
      <c r="CQ121" s="366"/>
      <c r="CR121" s="366"/>
      <c r="CS121" s="366"/>
      <c r="CT121" s="366"/>
      <c r="CU121" s="368"/>
    </row>
    <row r="122" spans="1:100" ht="15.75" customHeight="1" outlineLevel="4">
      <c r="A122" s="347"/>
      <c r="B122" s="21"/>
      <c r="C122" s="84" t="s">
        <v>68</v>
      </c>
      <c r="D122" s="53">
        <v>44000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367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365"/>
      <c r="BA122" s="366"/>
      <c r="BB122" s="366"/>
      <c r="BC122" s="53"/>
      <c r="BD122" s="366"/>
      <c r="BE122" s="366"/>
      <c r="BF122" s="366"/>
      <c r="BG122" s="366"/>
      <c r="BH122" s="366"/>
      <c r="BI122" s="366"/>
      <c r="BJ122" s="366"/>
      <c r="BK122" s="368"/>
      <c r="BL122" s="365"/>
      <c r="BM122" s="366"/>
      <c r="BN122" s="366"/>
      <c r="BO122" s="366"/>
      <c r="BP122" s="366"/>
      <c r="BQ122" s="366"/>
      <c r="BR122" s="366"/>
      <c r="BS122" s="366"/>
      <c r="BT122" s="366"/>
      <c r="BU122" s="366"/>
      <c r="BV122" s="366"/>
      <c r="BW122" s="368"/>
      <c r="BX122" s="365"/>
      <c r="BY122" s="366"/>
      <c r="BZ122" s="366"/>
      <c r="CA122" s="366"/>
      <c r="CB122" s="366"/>
      <c r="CC122" s="366"/>
      <c r="CD122" s="366"/>
      <c r="CE122" s="366"/>
      <c r="CF122" s="366"/>
      <c r="CG122" s="366"/>
      <c r="CH122" s="366"/>
      <c r="CI122" s="368"/>
      <c r="CJ122" s="365"/>
      <c r="CK122" s="366"/>
      <c r="CL122" s="366"/>
      <c r="CM122" s="366"/>
      <c r="CN122" s="366"/>
      <c r="CO122" s="366"/>
      <c r="CP122" s="366"/>
      <c r="CQ122" s="366"/>
      <c r="CR122" s="366"/>
      <c r="CS122" s="366"/>
      <c r="CT122" s="366"/>
      <c r="CU122" s="368"/>
    </row>
    <row r="123" spans="1:100" ht="15.75" customHeight="1" outlineLevel="4">
      <c r="A123" s="347"/>
      <c r="B123" s="21"/>
      <c r="C123" s="87" t="s">
        <v>69</v>
      </c>
      <c r="D123" s="53">
        <v>12000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365"/>
      <c r="BA123" s="366"/>
      <c r="BB123" s="366"/>
      <c r="BC123" s="53">
        <v>50000</v>
      </c>
      <c r="BD123" s="366"/>
      <c r="BE123" s="366"/>
      <c r="BF123" s="366"/>
      <c r="BG123" s="366"/>
      <c r="BH123" s="366"/>
      <c r="BI123" s="366"/>
      <c r="BJ123" s="366"/>
      <c r="BK123" s="368"/>
      <c r="BL123" s="365"/>
      <c r="BM123" s="366"/>
      <c r="BN123" s="366"/>
      <c r="BO123" s="366"/>
      <c r="BP123" s="366"/>
      <c r="BQ123" s="366"/>
      <c r="BR123" s="366"/>
      <c r="BS123" s="366"/>
      <c r="BT123" s="366"/>
      <c r="BU123" s="366"/>
      <c r="BV123" s="366"/>
      <c r="BW123" s="368"/>
      <c r="BX123" s="365"/>
      <c r="BY123" s="366"/>
      <c r="BZ123" s="366"/>
      <c r="CA123" s="366"/>
      <c r="CB123" s="366"/>
      <c r="CC123" s="366"/>
      <c r="CD123" s="366"/>
      <c r="CE123" s="366"/>
      <c r="CF123" s="366"/>
      <c r="CG123" s="366"/>
      <c r="CH123" s="366"/>
      <c r="CI123" s="368"/>
      <c r="CJ123" s="365"/>
      <c r="CK123" s="366"/>
      <c r="CL123" s="366"/>
      <c r="CM123" s="366"/>
      <c r="CN123" s="366"/>
      <c r="CO123" s="366"/>
      <c r="CP123" s="366"/>
      <c r="CQ123" s="366"/>
      <c r="CR123" s="366"/>
      <c r="CS123" s="366"/>
      <c r="CT123" s="366"/>
      <c r="CU123" s="368"/>
    </row>
    <row r="124" spans="1:100" ht="15.75" customHeight="1" outlineLevel="4">
      <c r="A124" s="347"/>
      <c r="B124" s="21"/>
      <c r="C124" s="87" t="s">
        <v>70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>
        <v>100000</v>
      </c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365"/>
      <c r="BA124" s="366"/>
      <c r="BB124" s="366"/>
      <c r="BC124" s="53">
        <v>30000</v>
      </c>
      <c r="BD124" s="366"/>
      <c r="BE124" s="366"/>
      <c r="BF124" s="366"/>
      <c r="BG124" s="366"/>
      <c r="BH124" s="366"/>
      <c r="BI124" s="366"/>
      <c r="BJ124" s="366"/>
      <c r="BK124" s="368"/>
      <c r="BL124" s="365"/>
      <c r="BM124" s="366"/>
      <c r="BN124" s="366"/>
      <c r="BO124" s="366"/>
      <c r="BP124" s="366"/>
      <c r="BQ124" s="366"/>
      <c r="BR124" s="366"/>
      <c r="BS124" s="366"/>
      <c r="BT124" s="366"/>
      <c r="BU124" s="366"/>
      <c r="BV124" s="366"/>
      <c r="BW124" s="368"/>
      <c r="BX124" s="365"/>
      <c r="BY124" s="366"/>
      <c r="BZ124" s="366"/>
      <c r="CA124" s="366"/>
      <c r="CB124" s="366"/>
      <c r="CC124" s="366"/>
      <c r="CD124" s="366"/>
      <c r="CE124" s="366"/>
      <c r="CF124" s="366"/>
      <c r="CG124" s="366"/>
      <c r="CH124" s="366"/>
      <c r="CI124" s="368"/>
      <c r="CJ124" s="365"/>
      <c r="CK124" s="366"/>
      <c r="CL124" s="366"/>
      <c r="CM124" s="366"/>
      <c r="CN124" s="366"/>
      <c r="CO124" s="366"/>
      <c r="CP124" s="366"/>
      <c r="CQ124" s="366"/>
      <c r="CR124" s="366"/>
      <c r="CS124" s="366"/>
      <c r="CT124" s="366"/>
      <c r="CU124" s="368"/>
      <c r="CV124" s="3"/>
    </row>
    <row r="125" spans="1:100" ht="15.75" customHeight="1" outlineLevel="4">
      <c r="A125" s="347"/>
      <c r="B125" s="21"/>
      <c r="C125" s="87" t="s">
        <v>71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365"/>
      <c r="BA125" s="366"/>
      <c r="BB125" s="366"/>
      <c r="BC125" s="53">
        <v>50000</v>
      </c>
      <c r="BD125" s="366"/>
      <c r="BE125" s="366"/>
      <c r="BF125" s="366"/>
      <c r="BG125" s="366"/>
      <c r="BH125" s="366"/>
      <c r="BI125" s="366"/>
      <c r="BJ125" s="366"/>
      <c r="BK125" s="368"/>
      <c r="BL125" s="53">
        <v>100000</v>
      </c>
      <c r="BM125" s="366"/>
      <c r="BN125" s="366"/>
      <c r="BO125" s="366"/>
      <c r="BP125" s="366"/>
      <c r="BQ125" s="366"/>
      <c r="BR125" s="366"/>
      <c r="BS125" s="366"/>
      <c r="BT125" s="366"/>
      <c r="BU125" s="366"/>
      <c r="BV125" s="366"/>
      <c r="BW125" s="368"/>
      <c r="BX125" s="365"/>
      <c r="BY125" s="366"/>
      <c r="BZ125" s="366"/>
      <c r="CA125" s="366"/>
      <c r="CB125" s="366"/>
      <c r="CC125" s="366"/>
      <c r="CD125" s="366"/>
      <c r="CE125" s="366"/>
      <c r="CF125" s="366"/>
      <c r="CG125" s="366"/>
      <c r="CH125" s="366"/>
      <c r="CI125" s="368"/>
      <c r="CJ125" s="53">
        <v>120000</v>
      </c>
      <c r="CK125" s="366"/>
      <c r="CL125" s="366"/>
      <c r="CM125" s="366"/>
      <c r="CN125" s="366"/>
      <c r="CO125" s="366"/>
      <c r="CP125" s="366"/>
      <c r="CQ125" s="366"/>
      <c r="CR125" s="366"/>
      <c r="CS125" s="366"/>
      <c r="CT125" s="366"/>
      <c r="CU125" s="368"/>
      <c r="CV125" s="3"/>
    </row>
    <row r="126" spans="1:100" s="251" customFormat="1" ht="15.75" customHeight="1" outlineLevel="4">
      <c r="A126" s="347"/>
      <c r="B126" s="21"/>
      <c r="C126" s="87" t="s">
        <v>380</v>
      </c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365"/>
      <c r="BA126" s="366"/>
      <c r="BB126" s="366"/>
      <c r="BC126" s="53">
        <v>200000</v>
      </c>
      <c r="BD126" s="366"/>
      <c r="BE126" s="366"/>
      <c r="BF126" s="366"/>
      <c r="BG126" s="366"/>
      <c r="BH126" s="366"/>
      <c r="BI126" s="366"/>
      <c r="BJ126" s="366"/>
      <c r="BK126" s="368"/>
      <c r="BL126" s="53"/>
      <c r="BM126" s="366"/>
      <c r="BN126" s="366"/>
      <c r="BO126" s="366"/>
      <c r="BP126" s="366"/>
      <c r="BQ126" s="366"/>
      <c r="BR126" s="366"/>
      <c r="BS126" s="366"/>
      <c r="BT126" s="366"/>
      <c r="BU126" s="366"/>
      <c r="BV126" s="366"/>
      <c r="BW126" s="368"/>
      <c r="BX126" s="365"/>
      <c r="BY126" s="366"/>
      <c r="BZ126" s="366"/>
      <c r="CA126" s="366"/>
      <c r="CB126" s="366"/>
      <c r="CC126" s="366"/>
      <c r="CD126" s="366"/>
      <c r="CE126" s="366"/>
      <c r="CF126" s="366"/>
      <c r="CG126" s="366"/>
      <c r="CH126" s="366"/>
      <c r="CI126" s="368"/>
      <c r="CJ126" s="53"/>
      <c r="CK126" s="366"/>
      <c r="CL126" s="366"/>
      <c r="CM126" s="366"/>
      <c r="CN126" s="366"/>
      <c r="CO126" s="366"/>
      <c r="CP126" s="366"/>
      <c r="CQ126" s="366"/>
      <c r="CR126" s="366"/>
      <c r="CS126" s="366"/>
      <c r="CT126" s="366"/>
      <c r="CU126" s="368"/>
      <c r="CV126" s="3"/>
    </row>
    <row r="127" spans="1:100" ht="15.75" customHeight="1" outlineLevel="3">
      <c r="A127" s="84"/>
      <c r="B127" s="21"/>
      <c r="C127" s="29"/>
      <c r="D127" s="44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</row>
    <row r="128" spans="1:100" ht="15.75" customHeight="1" outlineLevel="3">
      <c r="A128" s="84"/>
      <c r="B128" s="30">
        <v>1.5</v>
      </c>
      <c r="C128" s="31" t="s">
        <v>72</v>
      </c>
      <c r="D128" s="355">
        <f>SUM(D129:D138)</f>
        <v>120000</v>
      </c>
      <c r="E128" s="355">
        <f t="shared" ref="E128:BP128" si="83">SUM(E129:E138)</f>
        <v>0</v>
      </c>
      <c r="F128" s="355">
        <f t="shared" si="83"/>
        <v>0</v>
      </c>
      <c r="G128" s="355">
        <f t="shared" si="83"/>
        <v>0</v>
      </c>
      <c r="H128" s="355">
        <f t="shared" si="83"/>
        <v>0</v>
      </c>
      <c r="I128" s="355">
        <f t="shared" si="83"/>
        <v>0</v>
      </c>
      <c r="J128" s="355">
        <f t="shared" si="83"/>
        <v>0</v>
      </c>
      <c r="K128" s="355">
        <f t="shared" si="83"/>
        <v>0</v>
      </c>
      <c r="L128" s="355">
        <f t="shared" si="83"/>
        <v>0</v>
      </c>
      <c r="M128" s="355">
        <f t="shared" si="83"/>
        <v>0</v>
      </c>
      <c r="N128" s="355">
        <f t="shared" si="83"/>
        <v>0</v>
      </c>
      <c r="O128" s="355">
        <f t="shared" si="83"/>
        <v>5000</v>
      </c>
      <c r="P128" s="355">
        <f t="shared" si="83"/>
        <v>0</v>
      </c>
      <c r="Q128" s="355">
        <f t="shared" si="83"/>
        <v>0</v>
      </c>
      <c r="R128" s="355">
        <f t="shared" si="83"/>
        <v>0</v>
      </c>
      <c r="S128" s="355">
        <f t="shared" si="83"/>
        <v>0</v>
      </c>
      <c r="T128" s="355">
        <f t="shared" si="83"/>
        <v>0</v>
      </c>
      <c r="U128" s="355">
        <f t="shared" si="83"/>
        <v>0</v>
      </c>
      <c r="V128" s="355">
        <f t="shared" si="83"/>
        <v>0</v>
      </c>
      <c r="W128" s="355">
        <f t="shared" si="83"/>
        <v>0</v>
      </c>
      <c r="X128" s="355">
        <f t="shared" si="83"/>
        <v>0</v>
      </c>
      <c r="Y128" s="355">
        <f t="shared" si="83"/>
        <v>0</v>
      </c>
      <c r="Z128" s="355">
        <f t="shared" si="83"/>
        <v>0</v>
      </c>
      <c r="AA128" s="355">
        <f t="shared" si="83"/>
        <v>125000</v>
      </c>
      <c r="AB128" s="355">
        <f t="shared" si="83"/>
        <v>0</v>
      </c>
      <c r="AC128" s="355">
        <f t="shared" si="83"/>
        <v>0</v>
      </c>
      <c r="AD128" s="355">
        <f t="shared" si="83"/>
        <v>0</v>
      </c>
      <c r="AE128" s="355">
        <f t="shared" si="83"/>
        <v>0</v>
      </c>
      <c r="AF128" s="355">
        <f t="shared" si="83"/>
        <v>120000</v>
      </c>
      <c r="AG128" s="355">
        <f t="shared" si="83"/>
        <v>0</v>
      </c>
      <c r="AH128" s="355">
        <f t="shared" si="83"/>
        <v>0</v>
      </c>
      <c r="AI128" s="355">
        <f t="shared" si="83"/>
        <v>0</v>
      </c>
      <c r="AJ128" s="355">
        <f t="shared" si="83"/>
        <v>0</v>
      </c>
      <c r="AK128" s="355">
        <f t="shared" si="83"/>
        <v>0</v>
      </c>
      <c r="AL128" s="355">
        <f t="shared" si="83"/>
        <v>120000</v>
      </c>
      <c r="AM128" s="355">
        <f t="shared" si="83"/>
        <v>800</v>
      </c>
      <c r="AN128" s="355">
        <f t="shared" si="83"/>
        <v>0</v>
      </c>
      <c r="AO128" s="355">
        <f t="shared" si="83"/>
        <v>0</v>
      </c>
      <c r="AP128" s="355">
        <f t="shared" si="83"/>
        <v>0</v>
      </c>
      <c r="AQ128" s="355">
        <f t="shared" si="83"/>
        <v>100000</v>
      </c>
      <c r="AR128" s="355">
        <f t="shared" si="83"/>
        <v>100000</v>
      </c>
      <c r="AS128" s="355">
        <f t="shared" si="83"/>
        <v>0</v>
      </c>
      <c r="AT128" s="355">
        <f t="shared" si="83"/>
        <v>0</v>
      </c>
      <c r="AU128" s="355">
        <f t="shared" si="83"/>
        <v>100000</v>
      </c>
      <c r="AV128" s="355">
        <f t="shared" si="83"/>
        <v>100000</v>
      </c>
      <c r="AW128" s="355">
        <f t="shared" si="83"/>
        <v>100000</v>
      </c>
      <c r="AX128" s="355">
        <f t="shared" si="83"/>
        <v>100000</v>
      </c>
      <c r="AY128" s="355">
        <f t="shared" si="83"/>
        <v>4800</v>
      </c>
      <c r="AZ128" s="355">
        <f t="shared" si="83"/>
        <v>95000</v>
      </c>
      <c r="BA128" s="355">
        <f t="shared" si="83"/>
        <v>0</v>
      </c>
      <c r="BB128" s="355">
        <f t="shared" si="83"/>
        <v>285000</v>
      </c>
      <c r="BC128" s="355">
        <f t="shared" si="83"/>
        <v>0</v>
      </c>
      <c r="BD128" s="355">
        <f t="shared" si="83"/>
        <v>0</v>
      </c>
      <c r="BE128" s="355">
        <f t="shared" si="83"/>
        <v>760000</v>
      </c>
      <c r="BF128" s="355">
        <f t="shared" si="83"/>
        <v>0</v>
      </c>
      <c r="BG128" s="355">
        <f t="shared" si="83"/>
        <v>0</v>
      </c>
      <c r="BH128" s="355">
        <f t="shared" si="83"/>
        <v>760000</v>
      </c>
      <c r="BI128" s="355">
        <f t="shared" si="83"/>
        <v>0</v>
      </c>
      <c r="BJ128" s="355">
        <f t="shared" si="83"/>
        <v>0</v>
      </c>
      <c r="BK128" s="355">
        <f t="shared" si="83"/>
        <v>19200</v>
      </c>
      <c r="BL128" s="355">
        <f t="shared" si="83"/>
        <v>190000</v>
      </c>
      <c r="BM128" s="355">
        <f t="shared" si="83"/>
        <v>0</v>
      </c>
      <c r="BN128" s="355">
        <f t="shared" si="83"/>
        <v>570000</v>
      </c>
      <c r="BO128" s="355">
        <f t="shared" si="83"/>
        <v>0</v>
      </c>
      <c r="BP128" s="355">
        <f t="shared" si="83"/>
        <v>0</v>
      </c>
      <c r="BQ128" s="355">
        <f t="shared" ref="BQ128:CU128" si="84">SUM(BQ129:BQ138)</f>
        <v>1520000</v>
      </c>
      <c r="BR128" s="355">
        <f t="shared" si="84"/>
        <v>0</v>
      </c>
      <c r="BS128" s="355">
        <f t="shared" si="84"/>
        <v>0</v>
      </c>
      <c r="BT128" s="355">
        <f t="shared" si="84"/>
        <v>1520000</v>
      </c>
      <c r="BU128" s="355">
        <f t="shared" si="84"/>
        <v>0</v>
      </c>
      <c r="BV128" s="355">
        <f t="shared" si="84"/>
        <v>0</v>
      </c>
      <c r="BW128" s="355">
        <f t="shared" si="84"/>
        <v>46400</v>
      </c>
      <c r="BX128" s="355">
        <f t="shared" si="84"/>
        <v>285000</v>
      </c>
      <c r="BY128" s="355">
        <f t="shared" si="84"/>
        <v>0</v>
      </c>
      <c r="BZ128" s="355">
        <f t="shared" si="84"/>
        <v>855000</v>
      </c>
      <c r="CA128" s="355">
        <f t="shared" si="84"/>
        <v>0</v>
      </c>
      <c r="CB128" s="355">
        <f t="shared" si="84"/>
        <v>0</v>
      </c>
      <c r="CC128" s="355">
        <f t="shared" si="84"/>
        <v>2280000</v>
      </c>
      <c r="CD128" s="355">
        <f t="shared" si="84"/>
        <v>0</v>
      </c>
      <c r="CE128" s="355">
        <f t="shared" si="84"/>
        <v>0</v>
      </c>
      <c r="CF128" s="355">
        <f t="shared" si="84"/>
        <v>2280000</v>
      </c>
      <c r="CG128" s="355">
        <f t="shared" si="84"/>
        <v>0</v>
      </c>
      <c r="CH128" s="355">
        <f t="shared" si="84"/>
        <v>0</v>
      </c>
      <c r="CI128" s="355">
        <f t="shared" si="84"/>
        <v>86400</v>
      </c>
      <c r="CJ128" s="355">
        <f>SUM(CJ129:CJ138)</f>
        <v>380000</v>
      </c>
      <c r="CK128" s="355">
        <f t="shared" si="84"/>
        <v>0</v>
      </c>
      <c r="CL128" s="355">
        <f t="shared" si="84"/>
        <v>1140000</v>
      </c>
      <c r="CM128" s="355">
        <f t="shared" si="84"/>
        <v>0</v>
      </c>
      <c r="CN128" s="355">
        <f t="shared" si="84"/>
        <v>0</v>
      </c>
      <c r="CO128" s="355">
        <f t="shared" si="84"/>
        <v>3040000</v>
      </c>
      <c r="CP128" s="355">
        <f t="shared" si="84"/>
        <v>0</v>
      </c>
      <c r="CQ128" s="355">
        <f t="shared" si="84"/>
        <v>0</v>
      </c>
      <c r="CR128" s="355">
        <f t="shared" si="84"/>
        <v>3040000</v>
      </c>
      <c r="CS128" s="355">
        <f t="shared" si="84"/>
        <v>0</v>
      </c>
      <c r="CT128" s="355">
        <f t="shared" si="84"/>
        <v>0</v>
      </c>
      <c r="CU128" s="355">
        <f t="shared" si="84"/>
        <v>139200</v>
      </c>
    </row>
    <row r="129" spans="1:99" ht="15.75" customHeight="1" outlineLevel="4">
      <c r="A129" s="347"/>
      <c r="B129" s="21"/>
      <c r="C129" s="84" t="s">
        <v>51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>
        <v>5000</v>
      </c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>
        <v>5000</v>
      </c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>
        <f>800*(SUM(COUNT(AM$179:$AN179),COUNT(AM$181:$AN181),AM$183:$AN183))</f>
        <v>800</v>
      </c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>
        <f>800*(SUM(COUNT($AM$179:AY179),COUNT($AM$181:AY181),$AM$183:AY183))</f>
        <v>4800</v>
      </c>
      <c r="AZ129" s="365"/>
      <c r="BA129" s="366"/>
      <c r="BB129" s="366"/>
      <c r="BC129" s="366"/>
      <c r="BD129" s="366"/>
      <c r="BE129" s="366"/>
      <c r="BF129" s="366"/>
      <c r="BG129" s="366"/>
      <c r="BH129" s="53"/>
      <c r="BI129" s="366"/>
      <c r="BJ129" s="366"/>
      <c r="BK129" s="53">
        <f>800*(SUM(COUNT($AM$179:BK179),COUNT($AM$181:BK181),$AM$183:BK183))</f>
        <v>19200</v>
      </c>
      <c r="BL129" s="365"/>
      <c r="BM129" s="366"/>
      <c r="BN129" s="366"/>
      <c r="BO129" s="366"/>
      <c r="BP129" s="366"/>
      <c r="BQ129" s="366"/>
      <c r="BR129" s="366"/>
      <c r="BS129" s="366"/>
      <c r="BT129" s="53"/>
      <c r="BU129" s="366"/>
      <c r="BV129" s="366"/>
      <c r="BW129" s="53">
        <f>800*(SUM(COUNT($AM$179:BW179),COUNT($AM$181:BW181),$AM$183:BW183))</f>
        <v>46400</v>
      </c>
      <c r="BX129" s="365"/>
      <c r="BY129" s="366"/>
      <c r="BZ129" s="366"/>
      <c r="CA129" s="366"/>
      <c r="CB129" s="366"/>
      <c r="CC129" s="366"/>
      <c r="CD129" s="366"/>
      <c r="CE129" s="366"/>
      <c r="CF129" s="53"/>
      <c r="CG129" s="366"/>
      <c r="CH129" s="366"/>
      <c r="CI129" s="53">
        <f>800*(SUM(COUNT($AM$179:CI179),COUNT($AM$181:CI181),$AM$183:CI183))</f>
        <v>86400</v>
      </c>
      <c r="CJ129" s="365"/>
      <c r="CK129" s="366"/>
      <c r="CL129" s="366"/>
      <c r="CM129" s="366"/>
      <c r="CN129" s="366"/>
      <c r="CO129" s="366"/>
      <c r="CP129" s="366"/>
      <c r="CQ129" s="366"/>
      <c r="CR129" s="53"/>
      <c r="CS129" s="366"/>
      <c r="CT129" s="366"/>
      <c r="CU129" s="53">
        <f>800*(SUM(COUNT($AM$179:CU179),COUNT($AM$181:CU181),$AM$183:CU183))</f>
        <v>139200</v>
      </c>
    </row>
    <row r="130" spans="1:99" ht="15.75" customHeight="1" outlineLevel="4">
      <c r="A130" s="347"/>
      <c r="B130" s="21"/>
      <c r="C130" s="84" t="s">
        <v>73</v>
      </c>
      <c r="D130" s="53">
        <v>40000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365"/>
      <c r="BA130" s="366"/>
      <c r="BB130" s="366"/>
      <c r="BC130" s="366"/>
      <c r="BD130" s="366"/>
      <c r="BE130" s="366"/>
      <c r="BF130" s="366"/>
      <c r="BG130" s="366"/>
      <c r="BH130" s="53"/>
      <c r="BI130" s="366"/>
      <c r="BJ130" s="366"/>
      <c r="BK130" s="53"/>
      <c r="BL130" s="365"/>
      <c r="BM130" s="366"/>
      <c r="BN130" s="366"/>
      <c r="BO130" s="366"/>
      <c r="BP130" s="366"/>
      <c r="BQ130" s="366"/>
      <c r="BR130" s="366"/>
      <c r="BS130" s="366"/>
      <c r="BT130" s="53"/>
      <c r="BU130" s="366"/>
      <c r="BV130" s="366"/>
      <c r="BW130" s="53"/>
      <c r="BX130" s="365"/>
      <c r="BY130" s="366"/>
      <c r="BZ130" s="366"/>
      <c r="CA130" s="366"/>
      <c r="CB130" s="366"/>
      <c r="CC130" s="366"/>
      <c r="CD130" s="366"/>
      <c r="CE130" s="366"/>
      <c r="CF130" s="53"/>
      <c r="CG130" s="366"/>
      <c r="CH130" s="366"/>
      <c r="CI130" s="53"/>
      <c r="CJ130" s="365"/>
      <c r="CK130" s="366"/>
      <c r="CL130" s="366"/>
      <c r="CM130" s="366"/>
      <c r="CN130" s="366"/>
      <c r="CO130" s="366"/>
      <c r="CP130" s="366"/>
      <c r="CQ130" s="366"/>
      <c r="CR130" s="53"/>
      <c r="CS130" s="366"/>
      <c r="CT130" s="366"/>
      <c r="CU130" s="53"/>
    </row>
    <row r="131" spans="1:99" ht="15.75" customHeight="1" outlineLevel="4">
      <c r="A131" s="347"/>
      <c r="B131" s="21"/>
      <c r="C131" s="84" t="s">
        <v>74</v>
      </c>
      <c r="D131" s="53">
        <v>10000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365"/>
      <c r="BA131" s="366"/>
      <c r="BB131" s="366"/>
      <c r="BC131" s="366"/>
      <c r="BD131" s="366"/>
      <c r="BE131" s="366"/>
      <c r="BF131" s="366"/>
      <c r="BG131" s="366"/>
      <c r="BH131" s="53"/>
      <c r="BI131" s="366"/>
      <c r="BJ131" s="366"/>
      <c r="BK131" s="53"/>
      <c r="BL131" s="365"/>
      <c r="BM131" s="366"/>
      <c r="BN131" s="366"/>
      <c r="BO131" s="366"/>
      <c r="BP131" s="366"/>
      <c r="BQ131" s="366"/>
      <c r="BR131" s="366"/>
      <c r="BS131" s="366"/>
      <c r="BT131" s="53"/>
      <c r="BU131" s="366"/>
      <c r="BV131" s="366"/>
      <c r="BW131" s="53"/>
      <c r="BX131" s="365"/>
      <c r="BY131" s="366"/>
      <c r="BZ131" s="366"/>
      <c r="CA131" s="366"/>
      <c r="CB131" s="366"/>
      <c r="CC131" s="366"/>
      <c r="CD131" s="366"/>
      <c r="CE131" s="366"/>
      <c r="CF131" s="53"/>
      <c r="CG131" s="366"/>
      <c r="CH131" s="366"/>
      <c r="CI131" s="53"/>
      <c r="CJ131" s="365"/>
      <c r="CK131" s="366"/>
      <c r="CL131" s="366"/>
      <c r="CM131" s="366"/>
      <c r="CN131" s="366"/>
      <c r="CO131" s="366"/>
      <c r="CP131" s="366"/>
      <c r="CQ131" s="366"/>
      <c r="CR131" s="53"/>
      <c r="CS131" s="366"/>
      <c r="CT131" s="366"/>
      <c r="CU131" s="53"/>
    </row>
    <row r="132" spans="1:99" ht="15.75" customHeight="1" outlineLevel="4">
      <c r="A132" s="347"/>
      <c r="B132" s="21"/>
      <c r="C132" s="84" t="s">
        <v>75</v>
      </c>
      <c r="D132" s="53">
        <v>5000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365"/>
      <c r="BA132" s="366"/>
      <c r="BB132" s="366"/>
      <c r="BC132" s="366"/>
      <c r="BD132" s="366"/>
      <c r="BE132" s="366"/>
      <c r="BF132" s="366"/>
      <c r="BG132" s="366"/>
      <c r="BH132" s="366"/>
      <c r="BI132" s="366"/>
      <c r="BJ132" s="366"/>
      <c r="BK132" s="368"/>
      <c r="BL132" s="365"/>
      <c r="BM132" s="366"/>
      <c r="BN132" s="366"/>
      <c r="BO132" s="366"/>
      <c r="BP132" s="366"/>
      <c r="BQ132" s="366"/>
      <c r="BR132" s="366"/>
      <c r="BS132" s="366"/>
      <c r="BT132" s="366"/>
      <c r="BU132" s="366"/>
      <c r="BV132" s="366"/>
      <c r="BW132" s="368"/>
      <c r="BX132" s="365"/>
      <c r="BY132" s="366"/>
      <c r="BZ132" s="366"/>
      <c r="CA132" s="366"/>
      <c r="CB132" s="366"/>
      <c r="CC132" s="366"/>
      <c r="CD132" s="366"/>
      <c r="CE132" s="366"/>
      <c r="CF132" s="366"/>
      <c r="CG132" s="366"/>
      <c r="CH132" s="366"/>
      <c r="CI132" s="368"/>
      <c r="CJ132" s="365"/>
      <c r="CK132" s="366"/>
      <c r="CL132" s="366"/>
      <c r="CM132" s="366"/>
      <c r="CN132" s="366"/>
      <c r="CO132" s="366"/>
      <c r="CP132" s="366"/>
      <c r="CQ132" s="366"/>
      <c r="CR132" s="366"/>
      <c r="CS132" s="366"/>
      <c r="CT132" s="366"/>
      <c r="CU132" s="368"/>
    </row>
    <row r="133" spans="1:99" ht="15.75" customHeight="1" outlineLevel="4">
      <c r="A133" s="347"/>
      <c r="B133" s="21"/>
      <c r="C133" s="87" t="s">
        <v>76</v>
      </c>
      <c r="D133" s="53">
        <v>8000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365"/>
      <c r="BA133" s="366"/>
      <c r="BB133" s="366"/>
      <c r="BC133" s="366"/>
      <c r="BD133" s="366"/>
      <c r="BE133" s="366"/>
      <c r="BF133" s="366"/>
      <c r="BG133" s="366"/>
      <c r="BH133" s="366"/>
      <c r="BI133" s="366"/>
      <c r="BJ133" s="366"/>
      <c r="BK133" s="368"/>
      <c r="BL133" s="365"/>
      <c r="BM133" s="366"/>
      <c r="BN133" s="366"/>
      <c r="BO133" s="366"/>
      <c r="BP133" s="366"/>
      <c r="BQ133" s="366"/>
      <c r="BR133" s="366"/>
      <c r="BS133" s="366"/>
      <c r="BT133" s="366"/>
      <c r="BU133" s="366"/>
      <c r="BV133" s="366"/>
      <c r="BW133" s="368"/>
      <c r="BX133" s="365"/>
      <c r="BY133" s="366"/>
      <c r="BZ133" s="366"/>
      <c r="CA133" s="366"/>
      <c r="CB133" s="366"/>
      <c r="CC133" s="366"/>
      <c r="CD133" s="366"/>
      <c r="CE133" s="366"/>
      <c r="CF133" s="366"/>
      <c r="CG133" s="366"/>
      <c r="CH133" s="366"/>
      <c r="CI133" s="368"/>
      <c r="CJ133" s="365"/>
      <c r="CK133" s="366"/>
      <c r="CL133" s="366"/>
      <c r="CM133" s="366"/>
      <c r="CN133" s="366"/>
      <c r="CO133" s="366"/>
      <c r="CP133" s="366"/>
      <c r="CQ133" s="366"/>
      <c r="CR133" s="366"/>
      <c r="CS133" s="366"/>
      <c r="CT133" s="366"/>
      <c r="CU133" s="368"/>
    </row>
    <row r="134" spans="1:99" ht="15.75" customHeight="1" outlineLevel="4">
      <c r="A134" s="347"/>
      <c r="B134" s="21"/>
      <c r="C134" s="84" t="s">
        <v>77</v>
      </c>
      <c r="D134" s="53">
        <f>2*2000</f>
        <v>4000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</row>
    <row r="135" spans="1:99" ht="15.75" customHeight="1" outlineLevel="4">
      <c r="A135" s="347"/>
      <c r="B135" s="21"/>
      <c r="C135" s="84" t="s">
        <v>78</v>
      </c>
      <c r="D135" s="53">
        <v>3000</v>
      </c>
      <c r="E135" s="53"/>
      <c r="F135" s="53"/>
      <c r="G135" s="53"/>
      <c r="H135" s="53"/>
      <c r="I135" s="53"/>
      <c r="J135" s="53"/>
      <c r="K135" s="53"/>
      <c r="L135" s="53"/>
      <c r="M135" s="369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367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365"/>
      <c r="BA135" s="366"/>
      <c r="BB135" s="366"/>
      <c r="BC135" s="366"/>
      <c r="BD135" s="366"/>
      <c r="BE135" s="366"/>
      <c r="BF135" s="366"/>
      <c r="BG135" s="366"/>
      <c r="BH135" s="366"/>
      <c r="BI135" s="366"/>
      <c r="BJ135" s="366"/>
      <c r="BK135" s="368"/>
      <c r="BL135" s="365"/>
      <c r="BM135" s="366"/>
      <c r="BN135" s="366"/>
      <c r="BO135" s="366"/>
      <c r="BP135" s="366"/>
      <c r="BQ135" s="366"/>
      <c r="BR135" s="366"/>
      <c r="BS135" s="366"/>
      <c r="BT135" s="366"/>
      <c r="BU135" s="366"/>
      <c r="BV135" s="366"/>
      <c r="BW135" s="368"/>
      <c r="BX135" s="365"/>
      <c r="BY135" s="366"/>
      <c r="BZ135" s="366"/>
      <c r="CA135" s="366"/>
      <c r="CB135" s="366"/>
      <c r="CC135" s="366"/>
      <c r="CD135" s="366"/>
      <c r="CE135" s="366"/>
      <c r="CF135" s="366"/>
      <c r="CG135" s="366"/>
      <c r="CH135" s="366"/>
      <c r="CI135" s="368"/>
      <c r="CJ135" s="365"/>
      <c r="CK135" s="366"/>
      <c r="CL135" s="366"/>
      <c r="CM135" s="366"/>
      <c r="CN135" s="366"/>
      <c r="CO135" s="366"/>
      <c r="CP135" s="366"/>
      <c r="CQ135" s="366"/>
      <c r="CR135" s="366"/>
      <c r="CS135" s="366"/>
      <c r="CT135" s="366"/>
      <c r="CU135" s="368"/>
    </row>
    <row r="136" spans="1:99" ht="15" customHeight="1" outlineLevel="4">
      <c r="A136" s="347"/>
      <c r="B136" s="21"/>
      <c r="C136" s="88" t="s">
        <v>79</v>
      </c>
      <c r="D136" s="53">
        <v>30000</v>
      </c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365"/>
      <c r="BA136" s="366"/>
      <c r="BB136" s="366"/>
      <c r="BC136" s="366"/>
      <c r="BD136" s="366"/>
      <c r="BE136" s="366"/>
      <c r="BF136" s="366"/>
      <c r="BG136" s="366"/>
      <c r="BH136" s="366"/>
      <c r="BI136" s="366"/>
      <c r="BJ136" s="366"/>
      <c r="BK136" s="368"/>
      <c r="BL136" s="365"/>
      <c r="BM136" s="366"/>
      <c r="BN136" s="366"/>
      <c r="BO136" s="366"/>
      <c r="BP136" s="366"/>
      <c r="BQ136" s="366"/>
      <c r="BR136" s="366"/>
      <c r="BS136" s="366"/>
      <c r="BT136" s="366"/>
      <c r="BU136" s="366"/>
      <c r="BV136" s="366"/>
      <c r="BW136" s="368"/>
      <c r="BX136" s="365"/>
      <c r="BY136" s="366"/>
      <c r="BZ136" s="366"/>
      <c r="CA136" s="366"/>
      <c r="CB136" s="366"/>
      <c r="CC136" s="366"/>
      <c r="CD136" s="366"/>
      <c r="CE136" s="366"/>
      <c r="CF136" s="366"/>
      <c r="CG136" s="366"/>
      <c r="CH136" s="366"/>
      <c r="CI136" s="368"/>
      <c r="CJ136" s="365"/>
      <c r="CK136" s="366"/>
      <c r="CL136" s="366"/>
      <c r="CM136" s="366"/>
      <c r="CN136" s="366"/>
      <c r="CO136" s="366"/>
      <c r="CP136" s="366"/>
      <c r="CQ136" s="366"/>
      <c r="CR136" s="366"/>
      <c r="CS136" s="366"/>
      <c r="CT136" s="366"/>
      <c r="CU136" s="368"/>
    </row>
    <row r="137" spans="1:99" ht="15" customHeight="1" outlineLevel="4">
      <c r="A137" s="347"/>
      <c r="B137" s="21"/>
      <c r="C137" s="88" t="s">
        <v>80</v>
      </c>
      <c r="D137" s="53">
        <v>20000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>
        <v>85000</v>
      </c>
      <c r="BA137" s="53"/>
      <c r="BB137" s="53">
        <f>(BB179+BB181+BB183)*85000</f>
        <v>255000</v>
      </c>
      <c r="BC137" s="53">
        <f t="shared" ref="BC137:CU137" si="85">(BC179+BC181+BC183)*85000</f>
        <v>0</v>
      </c>
      <c r="BD137" s="53">
        <f t="shared" si="85"/>
        <v>0</v>
      </c>
      <c r="BE137" s="53">
        <f t="shared" si="85"/>
        <v>680000</v>
      </c>
      <c r="BF137" s="53">
        <f t="shared" si="85"/>
        <v>0</v>
      </c>
      <c r="BG137" s="53">
        <f t="shared" si="85"/>
        <v>0</v>
      </c>
      <c r="BH137" s="53">
        <f t="shared" si="85"/>
        <v>680000</v>
      </c>
      <c r="BI137" s="53">
        <f t="shared" si="85"/>
        <v>0</v>
      </c>
      <c r="BJ137" s="53">
        <f t="shared" si="85"/>
        <v>0</v>
      </c>
      <c r="BK137" s="53">
        <f t="shared" si="85"/>
        <v>0</v>
      </c>
      <c r="BL137" s="53">
        <f t="shared" si="85"/>
        <v>170000</v>
      </c>
      <c r="BM137" s="53">
        <f t="shared" si="85"/>
        <v>0</v>
      </c>
      <c r="BN137" s="53">
        <f t="shared" si="85"/>
        <v>510000</v>
      </c>
      <c r="BO137" s="53">
        <f t="shared" si="85"/>
        <v>0</v>
      </c>
      <c r="BP137" s="53">
        <f t="shared" si="85"/>
        <v>0</v>
      </c>
      <c r="BQ137" s="53">
        <f t="shared" si="85"/>
        <v>1360000</v>
      </c>
      <c r="BR137" s="53">
        <f t="shared" si="85"/>
        <v>0</v>
      </c>
      <c r="BS137" s="53">
        <f t="shared" si="85"/>
        <v>0</v>
      </c>
      <c r="BT137" s="53">
        <f t="shared" si="85"/>
        <v>1360000</v>
      </c>
      <c r="BU137" s="53">
        <f t="shared" si="85"/>
        <v>0</v>
      </c>
      <c r="BV137" s="53">
        <f t="shared" si="85"/>
        <v>0</v>
      </c>
      <c r="BW137" s="53">
        <f t="shared" si="85"/>
        <v>0</v>
      </c>
      <c r="BX137" s="53">
        <f t="shared" si="85"/>
        <v>255000</v>
      </c>
      <c r="BY137" s="53">
        <f t="shared" si="85"/>
        <v>0</v>
      </c>
      <c r="BZ137" s="53">
        <f t="shared" si="85"/>
        <v>765000</v>
      </c>
      <c r="CA137" s="53">
        <f t="shared" si="85"/>
        <v>0</v>
      </c>
      <c r="CB137" s="53">
        <f t="shared" si="85"/>
        <v>0</v>
      </c>
      <c r="CC137" s="53">
        <f t="shared" si="85"/>
        <v>2040000</v>
      </c>
      <c r="CD137" s="53">
        <f t="shared" si="85"/>
        <v>0</v>
      </c>
      <c r="CE137" s="53">
        <f t="shared" si="85"/>
        <v>0</v>
      </c>
      <c r="CF137" s="53">
        <f t="shared" si="85"/>
        <v>2040000</v>
      </c>
      <c r="CG137" s="53">
        <f t="shared" si="85"/>
        <v>0</v>
      </c>
      <c r="CH137" s="53">
        <f t="shared" si="85"/>
        <v>0</v>
      </c>
      <c r="CI137" s="53">
        <f t="shared" si="85"/>
        <v>0</v>
      </c>
      <c r="CJ137" s="53">
        <f t="shared" si="85"/>
        <v>340000</v>
      </c>
      <c r="CK137" s="53">
        <f t="shared" si="85"/>
        <v>0</v>
      </c>
      <c r="CL137" s="53">
        <f t="shared" si="85"/>
        <v>1020000</v>
      </c>
      <c r="CM137" s="53">
        <f t="shared" si="85"/>
        <v>0</v>
      </c>
      <c r="CN137" s="53">
        <f t="shared" si="85"/>
        <v>0</v>
      </c>
      <c r="CO137" s="53">
        <f t="shared" si="85"/>
        <v>2720000</v>
      </c>
      <c r="CP137" s="53">
        <f t="shared" si="85"/>
        <v>0</v>
      </c>
      <c r="CQ137" s="53">
        <f t="shared" si="85"/>
        <v>0</v>
      </c>
      <c r="CR137" s="53">
        <f t="shared" si="85"/>
        <v>2720000</v>
      </c>
      <c r="CS137" s="53">
        <f t="shared" si="85"/>
        <v>0</v>
      </c>
      <c r="CT137" s="53">
        <f t="shared" si="85"/>
        <v>0</v>
      </c>
      <c r="CU137" s="53">
        <f t="shared" si="85"/>
        <v>0</v>
      </c>
    </row>
    <row r="138" spans="1:99" ht="15" customHeight="1" outlineLevel="4">
      <c r="A138" s="347"/>
      <c r="B138" s="21"/>
      <c r="C138" s="88" t="s">
        <v>81</v>
      </c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>
        <v>120000</v>
      </c>
      <c r="AB138" s="53"/>
      <c r="AC138" s="53"/>
      <c r="AD138" s="53"/>
      <c r="AE138" s="53"/>
      <c r="AF138" s="53">
        <v>120000</v>
      </c>
      <c r="AG138" s="53"/>
      <c r="AH138" s="53"/>
      <c r="AI138" s="53"/>
      <c r="AJ138" s="53"/>
      <c r="AK138" s="53"/>
      <c r="AL138" s="53">
        <v>120000</v>
      </c>
      <c r="AM138" s="53"/>
      <c r="AN138" s="53"/>
      <c r="AO138" s="53"/>
      <c r="AP138" s="53"/>
      <c r="AQ138" s="53">
        <v>100000</v>
      </c>
      <c r="AR138" s="53">
        <v>100000</v>
      </c>
      <c r="AS138" s="53"/>
      <c r="AT138" s="53"/>
      <c r="AU138" s="53">
        <v>100000</v>
      </c>
      <c r="AV138" s="53">
        <v>100000</v>
      </c>
      <c r="AW138" s="53">
        <v>100000</v>
      </c>
      <c r="AX138" s="53">
        <v>100000</v>
      </c>
      <c r="AY138" s="53"/>
      <c r="AZ138" s="53">
        <v>10000</v>
      </c>
      <c r="BA138" s="53"/>
      <c r="BB138" s="53">
        <f>(BB179+BB181+BB183)*10000</f>
        <v>30000</v>
      </c>
      <c r="BC138" s="53">
        <f t="shared" ref="BC138:CU138" si="86">(BC179+BC181+BC183)*10000</f>
        <v>0</v>
      </c>
      <c r="BD138" s="53">
        <f t="shared" si="86"/>
        <v>0</v>
      </c>
      <c r="BE138" s="53">
        <f t="shared" si="86"/>
        <v>80000</v>
      </c>
      <c r="BF138" s="53">
        <f t="shared" si="86"/>
        <v>0</v>
      </c>
      <c r="BG138" s="53">
        <f t="shared" si="86"/>
        <v>0</v>
      </c>
      <c r="BH138" s="53">
        <f t="shared" si="86"/>
        <v>80000</v>
      </c>
      <c r="BI138" s="53">
        <f t="shared" si="86"/>
        <v>0</v>
      </c>
      <c r="BJ138" s="53">
        <f t="shared" si="86"/>
        <v>0</v>
      </c>
      <c r="BK138" s="53">
        <f t="shared" si="86"/>
        <v>0</v>
      </c>
      <c r="BL138" s="53">
        <f t="shared" si="86"/>
        <v>20000</v>
      </c>
      <c r="BM138" s="53">
        <f t="shared" si="86"/>
        <v>0</v>
      </c>
      <c r="BN138" s="53">
        <f t="shared" si="86"/>
        <v>60000</v>
      </c>
      <c r="BO138" s="53">
        <f t="shared" si="86"/>
        <v>0</v>
      </c>
      <c r="BP138" s="53">
        <f t="shared" si="86"/>
        <v>0</v>
      </c>
      <c r="BQ138" s="53">
        <f t="shared" si="86"/>
        <v>160000</v>
      </c>
      <c r="BR138" s="53">
        <f t="shared" si="86"/>
        <v>0</v>
      </c>
      <c r="BS138" s="53">
        <f t="shared" si="86"/>
        <v>0</v>
      </c>
      <c r="BT138" s="53">
        <f t="shared" si="86"/>
        <v>160000</v>
      </c>
      <c r="BU138" s="53">
        <f t="shared" si="86"/>
        <v>0</v>
      </c>
      <c r="BV138" s="53">
        <f t="shared" si="86"/>
        <v>0</v>
      </c>
      <c r="BW138" s="53">
        <f t="shared" si="86"/>
        <v>0</v>
      </c>
      <c r="BX138" s="53">
        <f t="shared" si="86"/>
        <v>30000</v>
      </c>
      <c r="BY138" s="53">
        <f t="shared" si="86"/>
        <v>0</v>
      </c>
      <c r="BZ138" s="53">
        <f t="shared" si="86"/>
        <v>90000</v>
      </c>
      <c r="CA138" s="53">
        <f t="shared" si="86"/>
        <v>0</v>
      </c>
      <c r="CB138" s="53">
        <f t="shared" si="86"/>
        <v>0</v>
      </c>
      <c r="CC138" s="53">
        <f t="shared" si="86"/>
        <v>240000</v>
      </c>
      <c r="CD138" s="53">
        <f t="shared" si="86"/>
        <v>0</v>
      </c>
      <c r="CE138" s="53">
        <f t="shared" si="86"/>
        <v>0</v>
      </c>
      <c r="CF138" s="53">
        <f t="shared" si="86"/>
        <v>240000</v>
      </c>
      <c r="CG138" s="53">
        <f t="shared" si="86"/>
        <v>0</v>
      </c>
      <c r="CH138" s="53">
        <f t="shared" si="86"/>
        <v>0</v>
      </c>
      <c r="CI138" s="53">
        <f t="shared" si="86"/>
        <v>0</v>
      </c>
      <c r="CJ138" s="53">
        <f t="shared" si="86"/>
        <v>40000</v>
      </c>
      <c r="CK138" s="53">
        <f t="shared" si="86"/>
        <v>0</v>
      </c>
      <c r="CL138" s="53">
        <f t="shared" si="86"/>
        <v>120000</v>
      </c>
      <c r="CM138" s="53">
        <f t="shared" si="86"/>
        <v>0</v>
      </c>
      <c r="CN138" s="53">
        <f t="shared" si="86"/>
        <v>0</v>
      </c>
      <c r="CO138" s="53">
        <f t="shared" si="86"/>
        <v>320000</v>
      </c>
      <c r="CP138" s="53">
        <f t="shared" si="86"/>
        <v>0</v>
      </c>
      <c r="CQ138" s="53">
        <f t="shared" si="86"/>
        <v>0</v>
      </c>
      <c r="CR138" s="53">
        <f t="shared" si="86"/>
        <v>320000</v>
      </c>
      <c r="CS138" s="53">
        <f t="shared" si="86"/>
        <v>0</v>
      </c>
      <c r="CT138" s="53">
        <f t="shared" si="86"/>
        <v>0</v>
      </c>
      <c r="CU138" s="53">
        <f t="shared" si="86"/>
        <v>0</v>
      </c>
    </row>
    <row r="139" spans="1:99" ht="15.75" customHeight="1" outlineLevel="3">
      <c r="A139" s="84"/>
      <c r="B139" s="21"/>
      <c r="C139" s="29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</row>
    <row r="140" spans="1:99" ht="15.75" customHeight="1" outlineLevel="3">
      <c r="A140" s="84"/>
      <c r="B140" s="30">
        <v>1.6</v>
      </c>
      <c r="C140" s="31" t="s">
        <v>82</v>
      </c>
      <c r="D140" s="370">
        <f>SUM(D141:D149)</f>
        <v>86100</v>
      </c>
      <c r="E140" s="370">
        <f t="shared" ref="E140:BP140" si="87">SUM(E141:E149)</f>
        <v>2200</v>
      </c>
      <c r="F140" s="370">
        <f t="shared" si="87"/>
        <v>2200</v>
      </c>
      <c r="G140" s="370">
        <f t="shared" si="87"/>
        <v>2200</v>
      </c>
      <c r="H140" s="370">
        <f t="shared" si="87"/>
        <v>2200</v>
      </c>
      <c r="I140" s="370">
        <f t="shared" si="87"/>
        <v>2200</v>
      </c>
      <c r="J140" s="370">
        <f t="shared" si="87"/>
        <v>2200</v>
      </c>
      <c r="K140" s="370">
        <f t="shared" si="87"/>
        <v>2200</v>
      </c>
      <c r="L140" s="370">
        <f t="shared" si="87"/>
        <v>2200</v>
      </c>
      <c r="M140" s="370">
        <f t="shared" si="87"/>
        <v>2200</v>
      </c>
      <c r="N140" s="370">
        <f t="shared" si="87"/>
        <v>2200</v>
      </c>
      <c r="O140" s="370">
        <f t="shared" si="87"/>
        <v>2200</v>
      </c>
      <c r="P140" s="370">
        <f t="shared" si="87"/>
        <v>31350</v>
      </c>
      <c r="Q140" s="370">
        <f t="shared" si="87"/>
        <v>2350</v>
      </c>
      <c r="R140" s="370">
        <f t="shared" si="87"/>
        <v>2350</v>
      </c>
      <c r="S140" s="370">
        <f t="shared" si="87"/>
        <v>2350</v>
      </c>
      <c r="T140" s="370">
        <f t="shared" si="87"/>
        <v>2350</v>
      </c>
      <c r="U140" s="370">
        <f t="shared" si="87"/>
        <v>2350</v>
      </c>
      <c r="V140" s="370">
        <f t="shared" si="87"/>
        <v>2350</v>
      </c>
      <c r="W140" s="370">
        <f t="shared" si="87"/>
        <v>2350</v>
      </c>
      <c r="X140" s="370">
        <f t="shared" si="87"/>
        <v>2350</v>
      </c>
      <c r="Y140" s="370">
        <f t="shared" si="87"/>
        <v>2350</v>
      </c>
      <c r="Z140" s="370">
        <f t="shared" si="87"/>
        <v>2350</v>
      </c>
      <c r="AA140" s="370">
        <f t="shared" si="87"/>
        <v>2350</v>
      </c>
      <c r="AB140" s="370">
        <f t="shared" si="87"/>
        <v>31350</v>
      </c>
      <c r="AC140" s="370">
        <f t="shared" si="87"/>
        <v>2350</v>
      </c>
      <c r="AD140" s="370">
        <f t="shared" si="87"/>
        <v>2350</v>
      </c>
      <c r="AE140" s="370">
        <f t="shared" si="87"/>
        <v>2350</v>
      </c>
      <c r="AF140" s="370">
        <f t="shared" si="87"/>
        <v>2350</v>
      </c>
      <c r="AG140" s="370">
        <f t="shared" si="87"/>
        <v>2350</v>
      </c>
      <c r="AH140" s="370">
        <f t="shared" si="87"/>
        <v>2350</v>
      </c>
      <c r="AI140" s="370">
        <f t="shared" si="87"/>
        <v>2350</v>
      </c>
      <c r="AJ140" s="370">
        <f t="shared" si="87"/>
        <v>2350</v>
      </c>
      <c r="AK140" s="370">
        <f t="shared" si="87"/>
        <v>2350</v>
      </c>
      <c r="AL140" s="370">
        <f t="shared" si="87"/>
        <v>2350</v>
      </c>
      <c r="AM140" s="370">
        <f t="shared" si="87"/>
        <v>2350</v>
      </c>
      <c r="AN140" s="370">
        <f t="shared" si="87"/>
        <v>32350</v>
      </c>
      <c r="AO140" s="370">
        <f t="shared" si="87"/>
        <v>3350</v>
      </c>
      <c r="AP140" s="370">
        <f t="shared" si="87"/>
        <v>3350</v>
      </c>
      <c r="AQ140" s="370">
        <f t="shared" si="87"/>
        <v>3350</v>
      </c>
      <c r="AR140" s="370">
        <f t="shared" si="87"/>
        <v>3350</v>
      </c>
      <c r="AS140" s="370">
        <f t="shared" si="87"/>
        <v>3350</v>
      </c>
      <c r="AT140" s="370">
        <f t="shared" si="87"/>
        <v>3350</v>
      </c>
      <c r="AU140" s="370">
        <f t="shared" si="87"/>
        <v>3350</v>
      </c>
      <c r="AV140" s="370">
        <f t="shared" si="87"/>
        <v>3350</v>
      </c>
      <c r="AW140" s="370">
        <f t="shared" si="87"/>
        <v>3500</v>
      </c>
      <c r="AX140" s="370">
        <f t="shared" si="87"/>
        <v>4000</v>
      </c>
      <c r="AY140" s="370">
        <f t="shared" si="87"/>
        <v>4000</v>
      </c>
      <c r="AZ140" s="370">
        <f t="shared" si="87"/>
        <v>56000</v>
      </c>
      <c r="BA140" s="370">
        <f t="shared" si="87"/>
        <v>8000</v>
      </c>
      <c r="BB140" s="370">
        <f t="shared" si="87"/>
        <v>4000</v>
      </c>
      <c r="BC140" s="370">
        <f t="shared" si="87"/>
        <v>18650</v>
      </c>
      <c r="BD140" s="370">
        <f t="shared" si="87"/>
        <v>5650</v>
      </c>
      <c r="BE140" s="370">
        <f t="shared" si="87"/>
        <v>5650</v>
      </c>
      <c r="BF140" s="370">
        <f t="shared" si="87"/>
        <v>5650</v>
      </c>
      <c r="BG140" s="370">
        <f t="shared" si="87"/>
        <v>5650</v>
      </c>
      <c r="BH140" s="370">
        <f t="shared" si="87"/>
        <v>5650</v>
      </c>
      <c r="BI140" s="370">
        <f t="shared" si="87"/>
        <v>5650</v>
      </c>
      <c r="BJ140" s="370">
        <f t="shared" si="87"/>
        <v>5650</v>
      </c>
      <c r="BK140" s="370">
        <f t="shared" si="87"/>
        <v>5650</v>
      </c>
      <c r="BL140" s="370">
        <f t="shared" si="87"/>
        <v>65650</v>
      </c>
      <c r="BM140" s="370">
        <f t="shared" si="87"/>
        <v>6050</v>
      </c>
      <c r="BN140" s="370">
        <f t="shared" si="87"/>
        <v>6050</v>
      </c>
      <c r="BO140" s="370">
        <f t="shared" si="87"/>
        <v>6050</v>
      </c>
      <c r="BP140" s="370">
        <f t="shared" si="87"/>
        <v>6050</v>
      </c>
      <c r="BQ140" s="370">
        <f t="shared" ref="BQ140:CU140" si="88">SUM(BQ141:BQ149)</f>
        <v>6050</v>
      </c>
      <c r="BR140" s="370">
        <f t="shared" si="88"/>
        <v>6050</v>
      </c>
      <c r="BS140" s="370">
        <f t="shared" si="88"/>
        <v>6450</v>
      </c>
      <c r="BT140" s="370">
        <f t="shared" si="88"/>
        <v>6450</v>
      </c>
      <c r="BU140" s="370">
        <f t="shared" si="88"/>
        <v>6450</v>
      </c>
      <c r="BV140" s="370">
        <f t="shared" si="88"/>
        <v>6450</v>
      </c>
      <c r="BW140" s="370">
        <f t="shared" si="88"/>
        <v>6450</v>
      </c>
      <c r="BX140" s="370">
        <f t="shared" si="88"/>
        <v>74450</v>
      </c>
      <c r="BY140" s="370">
        <f t="shared" si="88"/>
        <v>6450</v>
      </c>
      <c r="BZ140" s="370">
        <f t="shared" si="88"/>
        <v>6450</v>
      </c>
      <c r="CA140" s="370">
        <f t="shared" si="88"/>
        <v>6850</v>
      </c>
      <c r="CB140" s="370">
        <f t="shared" si="88"/>
        <v>6850</v>
      </c>
      <c r="CC140" s="370">
        <f t="shared" si="88"/>
        <v>6850</v>
      </c>
      <c r="CD140" s="370">
        <f t="shared" si="88"/>
        <v>6850</v>
      </c>
      <c r="CE140" s="370">
        <f t="shared" si="88"/>
        <v>6850</v>
      </c>
      <c r="CF140" s="370">
        <f t="shared" si="88"/>
        <v>6850</v>
      </c>
      <c r="CG140" s="370">
        <f t="shared" si="88"/>
        <v>6850</v>
      </c>
      <c r="CH140" s="370">
        <f t="shared" si="88"/>
        <v>6850</v>
      </c>
      <c r="CI140" s="370">
        <f t="shared" si="88"/>
        <v>7250</v>
      </c>
      <c r="CJ140" s="370">
        <f>SUM(CJ141:CJ149)</f>
        <v>91250</v>
      </c>
      <c r="CK140" s="370">
        <f t="shared" si="88"/>
        <v>7250</v>
      </c>
      <c r="CL140" s="370">
        <f t="shared" si="88"/>
        <v>7250</v>
      </c>
      <c r="CM140" s="370">
        <f t="shared" si="88"/>
        <v>7250</v>
      </c>
      <c r="CN140" s="370">
        <f t="shared" si="88"/>
        <v>7250</v>
      </c>
      <c r="CO140" s="370">
        <f t="shared" si="88"/>
        <v>7250</v>
      </c>
      <c r="CP140" s="370">
        <f t="shared" si="88"/>
        <v>7250</v>
      </c>
      <c r="CQ140" s="370">
        <f t="shared" si="88"/>
        <v>7650</v>
      </c>
      <c r="CR140" s="370">
        <f t="shared" si="88"/>
        <v>7650</v>
      </c>
      <c r="CS140" s="370">
        <f t="shared" si="88"/>
        <v>7650</v>
      </c>
      <c r="CT140" s="370">
        <f t="shared" si="88"/>
        <v>7650</v>
      </c>
      <c r="CU140" s="370">
        <f t="shared" si="88"/>
        <v>7650</v>
      </c>
    </row>
    <row r="141" spans="1:99" ht="15.75" customHeight="1" outlineLevel="4">
      <c r="A141" s="347"/>
      <c r="B141" s="21"/>
      <c r="C141" s="347" t="s">
        <v>83</v>
      </c>
      <c r="D141" s="53">
        <v>1000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>
        <v>2000</v>
      </c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>
        <v>2000</v>
      </c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>
        <v>2000</v>
      </c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>
        <v>2000</v>
      </c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8"/>
      <c r="BL141" s="53">
        <v>2000</v>
      </c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8"/>
      <c r="BX141" s="53">
        <v>2000</v>
      </c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8"/>
      <c r="CJ141" s="53">
        <v>2000</v>
      </c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8"/>
    </row>
    <row r="142" spans="1:99" ht="15.75" customHeight="1" outlineLevel="4">
      <c r="A142" s="347"/>
      <c r="B142" s="21"/>
      <c r="C142" s="347" t="s">
        <v>84</v>
      </c>
      <c r="D142" s="53">
        <v>10000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>
        <v>25000</v>
      </c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>
        <v>25000</v>
      </c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>
        <v>25000</v>
      </c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>
        <v>50000</v>
      </c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8"/>
      <c r="BL142" s="53">
        <v>50000</v>
      </c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8"/>
      <c r="BX142" s="53">
        <v>50000</v>
      </c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8"/>
      <c r="CJ142" s="53">
        <v>50000</v>
      </c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8"/>
    </row>
    <row r="143" spans="1:99" ht="15.75" customHeight="1" outlineLevel="4">
      <c r="A143" s="347"/>
      <c r="B143" s="28"/>
      <c r="C143" s="347" t="s">
        <v>85</v>
      </c>
      <c r="D143" s="53">
        <v>12900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356"/>
      <c r="BA143" s="357"/>
      <c r="BB143" s="357"/>
      <c r="BC143" s="53">
        <v>13000</v>
      </c>
      <c r="BD143" s="357"/>
      <c r="BE143" s="357"/>
      <c r="BF143" s="357"/>
      <c r="BG143" s="357"/>
      <c r="BH143" s="357"/>
      <c r="BI143" s="357"/>
      <c r="BJ143" s="357"/>
      <c r="BK143" s="358"/>
      <c r="BL143" s="356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8"/>
      <c r="BX143" s="356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8"/>
      <c r="CJ143" s="356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8"/>
    </row>
    <row r="144" spans="1:99" ht="15.75" customHeight="1" outlineLevel="4">
      <c r="A144" s="347"/>
      <c r="B144" s="28"/>
      <c r="C144" s="347" t="s">
        <v>86</v>
      </c>
      <c r="D144" s="53">
        <v>100</v>
      </c>
      <c r="E144" s="53">
        <v>100</v>
      </c>
      <c r="F144" s="53">
        <v>100</v>
      </c>
      <c r="G144" s="53">
        <v>100</v>
      </c>
      <c r="H144" s="53">
        <v>100</v>
      </c>
      <c r="I144" s="53">
        <v>100</v>
      </c>
      <c r="J144" s="53">
        <v>100</v>
      </c>
      <c r="K144" s="53">
        <v>100</v>
      </c>
      <c r="L144" s="53">
        <v>100</v>
      </c>
      <c r="M144" s="53">
        <v>100</v>
      </c>
      <c r="N144" s="53">
        <v>100</v>
      </c>
      <c r="O144" s="53">
        <v>100</v>
      </c>
      <c r="P144" s="53">
        <v>100</v>
      </c>
      <c r="Q144" s="53">
        <v>100</v>
      </c>
      <c r="R144" s="53">
        <v>100</v>
      </c>
      <c r="S144" s="53">
        <v>100</v>
      </c>
      <c r="T144" s="53">
        <v>100</v>
      </c>
      <c r="U144" s="53">
        <v>100</v>
      </c>
      <c r="V144" s="53">
        <v>100</v>
      </c>
      <c r="W144" s="53">
        <v>100</v>
      </c>
      <c r="X144" s="53">
        <v>100</v>
      </c>
      <c r="Y144" s="53">
        <v>100</v>
      </c>
      <c r="Z144" s="53">
        <v>100</v>
      </c>
      <c r="AA144" s="53">
        <v>100</v>
      </c>
      <c r="AB144" s="53">
        <v>100</v>
      </c>
      <c r="AC144" s="53">
        <v>100</v>
      </c>
      <c r="AD144" s="53">
        <v>100</v>
      </c>
      <c r="AE144" s="53">
        <v>100</v>
      </c>
      <c r="AF144" s="53">
        <v>100</v>
      </c>
      <c r="AG144" s="53">
        <v>100</v>
      </c>
      <c r="AH144" s="53">
        <v>100</v>
      </c>
      <c r="AI144" s="53">
        <v>100</v>
      </c>
      <c r="AJ144" s="53">
        <v>100</v>
      </c>
      <c r="AK144" s="53">
        <v>100</v>
      </c>
      <c r="AL144" s="53">
        <v>100</v>
      </c>
      <c r="AM144" s="53">
        <v>100</v>
      </c>
      <c r="AN144" s="53">
        <v>100</v>
      </c>
      <c r="AO144" s="53">
        <v>100</v>
      </c>
      <c r="AP144" s="53">
        <v>100</v>
      </c>
      <c r="AQ144" s="53">
        <v>100</v>
      </c>
      <c r="AR144" s="53">
        <v>100</v>
      </c>
      <c r="AS144" s="53">
        <v>100</v>
      </c>
      <c r="AT144" s="53">
        <v>100</v>
      </c>
      <c r="AU144" s="53">
        <v>100</v>
      </c>
      <c r="AV144" s="53">
        <v>100</v>
      </c>
      <c r="AW144" s="53">
        <v>100</v>
      </c>
      <c r="AX144" s="53">
        <v>100</v>
      </c>
      <c r="AY144" s="53">
        <v>100</v>
      </c>
      <c r="AZ144" s="53">
        <v>100</v>
      </c>
      <c r="BA144" s="53">
        <v>100</v>
      </c>
      <c r="BB144" s="53">
        <v>100</v>
      </c>
      <c r="BC144" s="53">
        <v>1750</v>
      </c>
      <c r="BD144" s="53">
        <v>1750</v>
      </c>
      <c r="BE144" s="53">
        <v>1750</v>
      </c>
      <c r="BF144" s="53">
        <v>1750</v>
      </c>
      <c r="BG144" s="53">
        <v>1750</v>
      </c>
      <c r="BH144" s="53">
        <v>1750</v>
      </c>
      <c r="BI144" s="53">
        <v>1750</v>
      </c>
      <c r="BJ144" s="53">
        <v>1750</v>
      </c>
      <c r="BK144" s="53">
        <v>1750</v>
      </c>
      <c r="BL144" s="53">
        <v>1750</v>
      </c>
      <c r="BM144" s="53">
        <v>1750</v>
      </c>
      <c r="BN144" s="53">
        <v>1750</v>
      </c>
      <c r="BO144" s="53">
        <v>1750</v>
      </c>
      <c r="BP144" s="53">
        <v>1750</v>
      </c>
      <c r="BQ144" s="53">
        <v>1750</v>
      </c>
      <c r="BR144" s="53">
        <v>1750</v>
      </c>
      <c r="BS144" s="53">
        <v>1750</v>
      </c>
      <c r="BT144" s="53">
        <v>1750</v>
      </c>
      <c r="BU144" s="53">
        <v>1750</v>
      </c>
      <c r="BV144" s="53">
        <v>1750</v>
      </c>
      <c r="BW144" s="53">
        <v>1750</v>
      </c>
      <c r="BX144" s="53">
        <v>1750</v>
      </c>
      <c r="BY144" s="53">
        <v>1750</v>
      </c>
      <c r="BZ144" s="53">
        <v>1750</v>
      </c>
      <c r="CA144" s="53">
        <v>1750</v>
      </c>
      <c r="CB144" s="53">
        <v>1750</v>
      </c>
      <c r="CC144" s="53">
        <v>1750</v>
      </c>
      <c r="CD144" s="53">
        <v>1750</v>
      </c>
      <c r="CE144" s="53">
        <v>1750</v>
      </c>
      <c r="CF144" s="53">
        <v>1750</v>
      </c>
      <c r="CG144" s="53">
        <v>1750</v>
      </c>
      <c r="CH144" s="53">
        <v>1750</v>
      </c>
      <c r="CI144" s="53">
        <v>1750</v>
      </c>
      <c r="CJ144" s="53">
        <v>1750</v>
      </c>
      <c r="CK144" s="53">
        <v>1750</v>
      </c>
      <c r="CL144" s="53">
        <v>1750</v>
      </c>
      <c r="CM144" s="53">
        <v>1750</v>
      </c>
      <c r="CN144" s="53">
        <v>1750</v>
      </c>
      <c r="CO144" s="53">
        <v>1750</v>
      </c>
      <c r="CP144" s="53">
        <v>1750</v>
      </c>
      <c r="CQ144" s="53">
        <v>1750</v>
      </c>
      <c r="CR144" s="53">
        <v>1750</v>
      </c>
      <c r="CS144" s="53">
        <v>1750</v>
      </c>
      <c r="CT144" s="53">
        <v>1750</v>
      </c>
      <c r="CU144" s="53">
        <v>1750</v>
      </c>
    </row>
    <row r="145" spans="1:100" ht="15.75" customHeight="1" outlineLevel="4">
      <c r="A145" s="347"/>
      <c r="B145" s="28"/>
      <c r="C145" s="347" t="s">
        <v>230</v>
      </c>
      <c r="D145" s="53">
        <v>200</v>
      </c>
      <c r="E145" s="53">
        <v>200</v>
      </c>
      <c r="F145" s="53">
        <v>200</v>
      </c>
      <c r="G145" s="53">
        <v>200</v>
      </c>
      <c r="H145" s="53">
        <v>200</v>
      </c>
      <c r="I145" s="53">
        <v>200</v>
      </c>
      <c r="J145" s="53">
        <v>200</v>
      </c>
      <c r="K145" s="53">
        <v>200</v>
      </c>
      <c r="L145" s="53">
        <v>200</v>
      </c>
      <c r="M145" s="53">
        <v>200</v>
      </c>
      <c r="N145" s="53">
        <v>200</v>
      </c>
      <c r="O145" s="53">
        <v>200</v>
      </c>
      <c r="P145" s="53">
        <v>200</v>
      </c>
      <c r="Q145" s="53">
        <v>200</v>
      </c>
      <c r="R145" s="53">
        <v>200</v>
      </c>
      <c r="S145" s="53">
        <v>200</v>
      </c>
      <c r="T145" s="53">
        <v>200</v>
      </c>
      <c r="U145" s="53">
        <v>200</v>
      </c>
      <c r="V145" s="53">
        <v>200</v>
      </c>
      <c r="W145" s="53">
        <v>200</v>
      </c>
      <c r="X145" s="53">
        <v>200</v>
      </c>
      <c r="Y145" s="53">
        <v>200</v>
      </c>
      <c r="Z145" s="53">
        <v>200</v>
      </c>
      <c r="AA145" s="53">
        <v>200</v>
      </c>
      <c r="AB145" s="53">
        <v>200</v>
      </c>
      <c r="AC145" s="53">
        <v>200</v>
      </c>
      <c r="AD145" s="53">
        <v>200</v>
      </c>
      <c r="AE145" s="53">
        <v>200</v>
      </c>
      <c r="AF145" s="53">
        <v>200</v>
      </c>
      <c r="AG145" s="53">
        <v>200</v>
      </c>
      <c r="AH145" s="53">
        <v>200</v>
      </c>
      <c r="AI145" s="53">
        <v>200</v>
      </c>
      <c r="AJ145" s="53">
        <v>200</v>
      </c>
      <c r="AK145" s="53">
        <v>200</v>
      </c>
      <c r="AL145" s="53">
        <v>200</v>
      </c>
      <c r="AM145" s="53">
        <v>200</v>
      </c>
      <c r="AN145" s="53">
        <v>200</v>
      </c>
      <c r="AO145" s="53">
        <v>200</v>
      </c>
      <c r="AP145" s="53">
        <v>200</v>
      </c>
      <c r="AQ145" s="53">
        <v>200</v>
      </c>
      <c r="AR145" s="53">
        <v>200</v>
      </c>
      <c r="AS145" s="53">
        <v>200</v>
      </c>
      <c r="AT145" s="53">
        <v>200</v>
      </c>
      <c r="AU145" s="53">
        <v>200</v>
      </c>
      <c r="AV145" s="53">
        <v>200</v>
      </c>
      <c r="AW145" s="53">
        <v>200</v>
      </c>
      <c r="AX145" s="53">
        <v>200</v>
      </c>
      <c r="AY145" s="53">
        <v>200</v>
      </c>
      <c r="AZ145" s="53">
        <v>200</v>
      </c>
      <c r="BA145" s="53">
        <v>200</v>
      </c>
      <c r="BB145" s="53">
        <v>200</v>
      </c>
      <c r="BC145" s="53">
        <v>200</v>
      </c>
      <c r="BD145" s="53">
        <v>200</v>
      </c>
      <c r="BE145" s="53">
        <v>200</v>
      </c>
      <c r="BF145" s="53">
        <v>200</v>
      </c>
      <c r="BG145" s="53">
        <v>200</v>
      </c>
      <c r="BH145" s="53">
        <v>200</v>
      </c>
      <c r="BI145" s="53">
        <v>200</v>
      </c>
      <c r="BJ145" s="53">
        <v>200</v>
      </c>
      <c r="BK145" s="53">
        <v>200</v>
      </c>
      <c r="BL145" s="53">
        <v>200</v>
      </c>
      <c r="BM145" s="53">
        <v>200</v>
      </c>
      <c r="BN145" s="53">
        <v>200</v>
      </c>
      <c r="BO145" s="53">
        <v>200</v>
      </c>
      <c r="BP145" s="53">
        <v>200</v>
      </c>
      <c r="BQ145" s="53">
        <v>200</v>
      </c>
      <c r="BR145" s="53">
        <v>200</v>
      </c>
      <c r="BS145" s="53">
        <v>200</v>
      </c>
      <c r="BT145" s="53">
        <v>200</v>
      </c>
      <c r="BU145" s="53">
        <v>200</v>
      </c>
      <c r="BV145" s="53">
        <v>200</v>
      </c>
      <c r="BW145" s="53">
        <v>200</v>
      </c>
      <c r="BX145" s="53">
        <v>200</v>
      </c>
      <c r="BY145" s="53">
        <v>200</v>
      </c>
      <c r="BZ145" s="53">
        <v>200</v>
      </c>
      <c r="CA145" s="53">
        <v>200</v>
      </c>
      <c r="CB145" s="53">
        <v>200</v>
      </c>
      <c r="CC145" s="53">
        <v>200</v>
      </c>
      <c r="CD145" s="53">
        <v>200</v>
      </c>
      <c r="CE145" s="53">
        <v>200</v>
      </c>
      <c r="CF145" s="53">
        <v>200</v>
      </c>
      <c r="CG145" s="53">
        <v>200</v>
      </c>
      <c r="CH145" s="53">
        <v>200</v>
      </c>
      <c r="CI145" s="53">
        <v>200</v>
      </c>
      <c r="CJ145" s="53">
        <v>200</v>
      </c>
      <c r="CK145" s="53">
        <v>200</v>
      </c>
      <c r="CL145" s="53">
        <v>200</v>
      </c>
      <c r="CM145" s="53">
        <v>200</v>
      </c>
      <c r="CN145" s="53">
        <v>200</v>
      </c>
      <c r="CO145" s="53">
        <v>200</v>
      </c>
      <c r="CP145" s="53">
        <v>200</v>
      </c>
      <c r="CQ145" s="53">
        <v>200</v>
      </c>
      <c r="CR145" s="53">
        <v>200</v>
      </c>
      <c r="CS145" s="53">
        <v>200</v>
      </c>
      <c r="CT145" s="53">
        <v>200</v>
      </c>
      <c r="CU145" s="53">
        <v>200</v>
      </c>
    </row>
    <row r="146" spans="1:100" ht="15.75" customHeight="1" outlineLevel="4">
      <c r="A146" s="347"/>
      <c r="B146" s="28"/>
      <c r="C146" s="347" t="s">
        <v>30</v>
      </c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>
        <v>150</v>
      </c>
      <c r="Q146" s="53">
        <v>150</v>
      </c>
      <c r="R146" s="53">
        <v>150</v>
      </c>
      <c r="S146" s="53">
        <v>150</v>
      </c>
      <c r="T146" s="53">
        <v>150</v>
      </c>
      <c r="U146" s="53">
        <v>150</v>
      </c>
      <c r="V146" s="53">
        <v>150</v>
      </c>
      <c r="W146" s="53">
        <v>150</v>
      </c>
      <c r="X146" s="53">
        <v>150</v>
      </c>
      <c r="Y146" s="53">
        <v>150</v>
      </c>
      <c r="Z146" s="53">
        <v>150</v>
      </c>
      <c r="AA146" s="53">
        <v>150</v>
      </c>
      <c r="AB146" s="53">
        <v>150</v>
      </c>
      <c r="AC146" s="53">
        <v>150</v>
      </c>
      <c r="AD146" s="53">
        <v>150</v>
      </c>
      <c r="AE146" s="53">
        <v>150</v>
      </c>
      <c r="AF146" s="53">
        <v>150</v>
      </c>
      <c r="AG146" s="53">
        <v>150</v>
      </c>
      <c r="AH146" s="53">
        <v>150</v>
      </c>
      <c r="AI146" s="53">
        <v>150</v>
      </c>
      <c r="AJ146" s="53">
        <v>150</v>
      </c>
      <c r="AK146" s="53">
        <v>150</v>
      </c>
      <c r="AL146" s="53">
        <v>150</v>
      </c>
      <c r="AM146" s="53">
        <v>150</v>
      </c>
      <c r="AN146" s="53">
        <v>150</v>
      </c>
      <c r="AO146" s="53">
        <v>150</v>
      </c>
      <c r="AP146" s="53">
        <v>150</v>
      </c>
      <c r="AQ146" s="53">
        <v>150</v>
      </c>
      <c r="AR146" s="53">
        <v>150</v>
      </c>
      <c r="AS146" s="53">
        <v>150</v>
      </c>
      <c r="AT146" s="53">
        <v>150</v>
      </c>
      <c r="AU146" s="53">
        <v>150</v>
      </c>
      <c r="AV146" s="53">
        <v>150</v>
      </c>
      <c r="AW146" s="53">
        <v>300</v>
      </c>
      <c r="AX146" s="53">
        <v>300</v>
      </c>
      <c r="AY146" s="53">
        <v>300</v>
      </c>
      <c r="AZ146" s="53">
        <v>300</v>
      </c>
      <c r="BA146" s="53">
        <v>300</v>
      </c>
      <c r="BB146" s="53">
        <v>300</v>
      </c>
      <c r="BC146" s="53">
        <v>300</v>
      </c>
      <c r="BD146" s="53">
        <v>300</v>
      </c>
      <c r="BE146" s="53">
        <v>300</v>
      </c>
      <c r="BF146" s="53">
        <v>300</v>
      </c>
      <c r="BG146" s="53">
        <v>300</v>
      </c>
      <c r="BH146" s="53">
        <v>300</v>
      </c>
      <c r="BI146" s="53">
        <v>300</v>
      </c>
      <c r="BJ146" s="53">
        <v>300</v>
      </c>
      <c r="BK146" s="53">
        <v>300</v>
      </c>
      <c r="BL146" s="53">
        <v>300</v>
      </c>
      <c r="BM146" s="53">
        <v>300</v>
      </c>
      <c r="BN146" s="53">
        <v>300</v>
      </c>
      <c r="BO146" s="53">
        <v>300</v>
      </c>
      <c r="BP146" s="53">
        <v>300</v>
      </c>
      <c r="BQ146" s="53">
        <v>300</v>
      </c>
      <c r="BR146" s="53">
        <v>300</v>
      </c>
      <c r="BS146" s="53">
        <v>300</v>
      </c>
      <c r="BT146" s="53">
        <v>300</v>
      </c>
      <c r="BU146" s="53">
        <v>300</v>
      </c>
      <c r="BV146" s="53">
        <v>300</v>
      </c>
      <c r="BW146" s="53">
        <v>300</v>
      </c>
      <c r="BX146" s="53">
        <v>300</v>
      </c>
      <c r="BY146" s="53">
        <v>300</v>
      </c>
      <c r="BZ146" s="53">
        <v>300</v>
      </c>
      <c r="CA146" s="53">
        <v>300</v>
      </c>
      <c r="CB146" s="53">
        <v>300</v>
      </c>
      <c r="CC146" s="53">
        <v>300</v>
      </c>
      <c r="CD146" s="53">
        <v>300</v>
      </c>
      <c r="CE146" s="53">
        <v>300</v>
      </c>
      <c r="CF146" s="53">
        <v>300</v>
      </c>
      <c r="CG146" s="53">
        <v>300</v>
      </c>
      <c r="CH146" s="53">
        <v>300</v>
      </c>
      <c r="CI146" s="53">
        <v>300</v>
      </c>
      <c r="CJ146" s="53">
        <v>300</v>
      </c>
      <c r="CK146" s="53">
        <v>300</v>
      </c>
      <c r="CL146" s="53">
        <v>300</v>
      </c>
      <c r="CM146" s="53">
        <v>300</v>
      </c>
      <c r="CN146" s="53">
        <v>300</v>
      </c>
      <c r="CO146" s="53">
        <v>300</v>
      </c>
      <c r="CP146" s="53">
        <v>300</v>
      </c>
      <c r="CQ146" s="53">
        <v>300</v>
      </c>
      <c r="CR146" s="53">
        <v>300</v>
      </c>
      <c r="CS146" s="53">
        <v>300</v>
      </c>
      <c r="CT146" s="53">
        <v>300</v>
      </c>
      <c r="CU146" s="53">
        <v>300</v>
      </c>
    </row>
    <row r="147" spans="1:100" ht="15.75" customHeight="1" outlineLevel="4">
      <c r="A147" s="347"/>
      <c r="B147" s="21"/>
      <c r="C147" s="348" t="s">
        <v>87</v>
      </c>
      <c r="D147" s="53">
        <f>400*(1+D69)</f>
        <v>400</v>
      </c>
      <c r="E147" s="53">
        <f t="shared" ref="E147:BP147" si="89">400*(1+E69)</f>
        <v>400</v>
      </c>
      <c r="F147" s="53">
        <f t="shared" si="89"/>
        <v>400</v>
      </c>
      <c r="G147" s="53">
        <f t="shared" si="89"/>
        <v>400</v>
      </c>
      <c r="H147" s="53">
        <f t="shared" si="89"/>
        <v>400</v>
      </c>
      <c r="I147" s="53">
        <f t="shared" si="89"/>
        <v>400</v>
      </c>
      <c r="J147" s="53">
        <f t="shared" si="89"/>
        <v>400</v>
      </c>
      <c r="K147" s="53">
        <f t="shared" si="89"/>
        <v>400</v>
      </c>
      <c r="L147" s="53">
        <f t="shared" si="89"/>
        <v>400</v>
      </c>
      <c r="M147" s="53">
        <f t="shared" si="89"/>
        <v>400</v>
      </c>
      <c r="N147" s="53">
        <f t="shared" si="89"/>
        <v>400</v>
      </c>
      <c r="O147" s="53">
        <f t="shared" si="89"/>
        <v>400</v>
      </c>
      <c r="P147" s="53">
        <f t="shared" si="89"/>
        <v>400</v>
      </c>
      <c r="Q147" s="53">
        <f t="shared" si="89"/>
        <v>400</v>
      </c>
      <c r="R147" s="53">
        <f t="shared" si="89"/>
        <v>400</v>
      </c>
      <c r="S147" s="53">
        <f t="shared" si="89"/>
        <v>400</v>
      </c>
      <c r="T147" s="53">
        <f t="shared" si="89"/>
        <v>400</v>
      </c>
      <c r="U147" s="53">
        <f t="shared" si="89"/>
        <v>400</v>
      </c>
      <c r="V147" s="53">
        <f t="shared" si="89"/>
        <v>400</v>
      </c>
      <c r="W147" s="53">
        <f t="shared" si="89"/>
        <v>400</v>
      </c>
      <c r="X147" s="53">
        <f t="shared" si="89"/>
        <v>400</v>
      </c>
      <c r="Y147" s="53">
        <f t="shared" si="89"/>
        <v>400</v>
      </c>
      <c r="Z147" s="53">
        <f t="shared" si="89"/>
        <v>400</v>
      </c>
      <c r="AA147" s="53">
        <f t="shared" si="89"/>
        <v>400</v>
      </c>
      <c r="AB147" s="53">
        <f t="shared" si="89"/>
        <v>400</v>
      </c>
      <c r="AC147" s="53">
        <f t="shared" si="89"/>
        <v>400</v>
      </c>
      <c r="AD147" s="53">
        <f t="shared" si="89"/>
        <v>400</v>
      </c>
      <c r="AE147" s="53">
        <f t="shared" si="89"/>
        <v>400</v>
      </c>
      <c r="AF147" s="53">
        <f t="shared" si="89"/>
        <v>400</v>
      </c>
      <c r="AG147" s="53">
        <f t="shared" si="89"/>
        <v>400</v>
      </c>
      <c r="AH147" s="53">
        <f t="shared" si="89"/>
        <v>400</v>
      </c>
      <c r="AI147" s="53">
        <f t="shared" si="89"/>
        <v>400</v>
      </c>
      <c r="AJ147" s="53">
        <f t="shared" si="89"/>
        <v>400</v>
      </c>
      <c r="AK147" s="53">
        <f t="shared" si="89"/>
        <v>400</v>
      </c>
      <c r="AL147" s="53">
        <f t="shared" si="89"/>
        <v>400</v>
      </c>
      <c r="AM147" s="53">
        <f t="shared" si="89"/>
        <v>400</v>
      </c>
      <c r="AN147" s="53">
        <f t="shared" si="89"/>
        <v>400</v>
      </c>
      <c r="AO147" s="53">
        <f t="shared" si="89"/>
        <v>400</v>
      </c>
      <c r="AP147" s="53">
        <f t="shared" si="89"/>
        <v>400</v>
      </c>
      <c r="AQ147" s="53">
        <f t="shared" si="89"/>
        <v>400</v>
      </c>
      <c r="AR147" s="53">
        <f t="shared" si="89"/>
        <v>400</v>
      </c>
      <c r="AS147" s="53">
        <f t="shared" si="89"/>
        <v>400</v>
      </c>
      <c r="AT147" s="53">
        <f t="shared" si="89"/>
        <v>400</v>
      </c>
      <c r="AU147" s="53">
        <f t="shared" si="89"/>
        <v>400</v>
      </c>
      <c r="AV147" s="53">
        <f t="shared" si="89"/>
        <v>400</v>
      </c>
      <c r="AW147" s="53">
        <f t="shared" si="89"/>
        <v>400</v>
      </c>
      <c r="AX147" s="53">
        <f t="shared" si="89"/>
        <v>400</v>
      </c>
      <c r="AY147" s="53">
        <f t="shared" si="89"/>
        <v>400</v>
      </c>
      <c r="AZ147" s="53">
        <f t="shared" si="89"/>
        <v>400</v>
      </c>
      <c r="BA147" s="53">
        <f t="shared" si="89"/>
        <v>400</v>
      </c>
      <c r="BB147" s="53">
        <f t="shared" si="89"/>
        <v>400</v>
      </c>
      <c r="BC147" s="53">
        <f t="shared" si="89"/>
        <v>400</v>
      </c>
      <c r="BD147" s="53">
        <f t="shared" si="89"/>
        <v>400</v>
      </c>
      <c r="BE147" s="53">
        <f t="shared" si="89"/>
        <v>400</v>
      </c>
      <c r="BF147" s="53">
        <f t="shared" si="89"/>
        <v>400</v>
      </c>
      <c r="BG147" s="53">
        <f t="shared" si="89"/>
        <v>400</v>
      </c>
      <c r="BH147" s="53">
        <f t="shared" si="89"/>
        <v>400</v>
      </c>
      <c r="BI147" s="53">
        <f t="shared" si="89"/>
        <v>400</v>
      </c>
      <c r="BJ147" s="53">
        <f t="shared" si="89"/>
        <v>400</v>
      </c>
      <c r="BK147" s="53">
        <f t="shared" si="89"/>
        <v>400</v>
      </c>
      <c r="BL147" s="53">
        <f t="shared" si="89"/>
        <v>400</v>
      </c>
      <c r="BM147" s="53">
        <f t="shared" si="89"/>
        <v>800</v>
      </c>
      <c r="BN147" s="53">
        <f t="shared" si="89"/>
        <v>800</v>
      </c>
      <c r="BO147" s="53">
        <f t="shared" si="89"/>
        <v>800</v>
      </c>
      <c r="BP147" s="53">
        <f t="shared" si="89"/>
        <v>800</v>
      </c>
      <c r="BQ147" s="53">
        <f t="shared" ref="BQ147:CU147" si="90">400*(1+BQ69)</f>
        <v>800</v>
      </c>
      <c r="BR147" s="53">
        <f t="shared" si="90"/>
        <v>800</v>
      </c>
      <c r="BS147" s="53">
        <f t="shared" si="90"/>
        <v>1200</v>
      </c>
      <c r="BT147" s="53">
        <f t="shared" si="90"/>
        <v>1200</v>
      </c>
      <c r="BU147" s="53">
        <f t="shared" si="90"/>
        <v>1200</v>
      </c>
      <c r="BV147" s="53">
        <f t="shared" si="90"/>
        <v>1200</v>
      </c>
      <c r="BW147" s="53">
        <f t="shared" si="90"/>
        <v>1200</v>
      </c>
      <c r="BX147" s="53">
        <f t="shared" si="90"/>
        <v>1200</v>
      </c>
      <c r="BY147" s="53">
        <f t="shared" si="90"/>
        <v>1200</v>
      </c>
      <c r="BZ147" s="53">
        <f t="shared" si="90"/>
        <v>1200</v>
      </c>
      <c r="CA147" s="53">
        <f t="shared" si="90"/>
        <v>1600</v>
      </c>
      <c r="CB147" s="53">
        <f t="shared" si="90"/>
        <v>1600</v>
      </c>
      <c r="CC147" s="53">
        <f t="shared" si="90"/>
        <v>1600</v>
      </c>
      <c r="CD147" s="53">
        <f t="shared" si="90"/>
        <v>1600</v>
      </c>
      <c r="CE147" s="53">
        <f t="shared" si="90"/>
        <v>1600</v>
      </c>
      <c r="CF147" s="53">
        <f t="shared" si="90"/>
        <v>1600</v>
      </c>
      <c r="CG147" s="53">
        <f t="shared" si="90"/>
        <v>1600</v>
      </c>
      <c r="CH147" s="53">
        <f t="shared" si="90"/>
        <v>1600</v>
      </c>
      <c r="CI147" s="53">
        <f t="shared" si="90"/>
        <v>2000</v>
      </c>
      <c r="CJ147" s="53">
        <f t="shared" si="90"/>
        <v>2000</v>
      </c>
      <c r="CK147" s="53">
        <f t="shared" si="90"/>
        <v>2000</v>
      </c>
      <c r="CL147" s="53">
        <f t="shared" si="90"/>
        <v>2000</v>
      </c>
      <c r="CM147" s="53">
        <f t="shared" si="90"/>
        <v>2000</v>
      </c>
      <c r="CN147" s="53">
        <f t="shared" si="90"/>
        <v>2000</v>
      </c>
      <c r="CO147" s="53">
        <f t="shared" si="90"/>
        <v>2000</v>
      </c>
      <c r="CP147" s="53">
        <f t="shared" si="90"/>
        <v>2000</v>
      </c>
      <c r="CQ147" s="53">
        <f t="shared" si="90"/>
        <v>2400</v>
      </c>
      <c r="CR147" s="53">
        <f t="shared" si="90"/>
        <v>2400</v>
      </c>
      <c r="CS147" s="53">
        <f t="shared" si="90"/>
        <v>2400</v>
      </c>
      <c r="CT147" s="53">
        <f t="shared" si="90"/>
        <v>2400</v>
      </c>
      <c r="CU147" s="53">
        <f t="shared" si="90"/>
        <v>2400</v>
      </c>
    </row>
    <row r="148" spans="1:100" ht="15.75" customHeight="1" outlineLevel="4">
      <c r="A148" s="347"/>
      <c r="B148" s="21"/>
      <c r="C148" s="347" t="s">
        <v>225</v>
      </c>
      <c r="D148" s="53">
        <v>1500</v>
      </c>
      <c r="E148" s="53">
        <v>1500</v>
      </c>
      <c r="F148" s="53">
        <v>1500</v>
      </c>
      <c r="G148" s="53">
        <v>1500</v>
      </c>
      <c r="H148" s="53">
        <v>1500</v>
      </c>
      <c r="I148" s="53">
        <v>1500</v>
      </c>
      <c r="J148" s="53">
        <v>1500</v>
      </c>
      <c r="K148" s="53">
        <v>1500</v>
      </c>
      <c r="L148" s="53">
        <v>1500</v>
      </c>
      <c r="M148" s="53">
        <v>1500</v>
      </c>
      <c r="N148" s="53">
        <v>1500</v>
      </c>
      <c r="O148" s="53">
        <v>1500</v>
      </c>
      <c r="P148" s="53">
        <v>1500</v>
      </c>
      <c r="Q148" s="53">
        <v>1500</v>
      </c>
      <c r="R148" s="53">
        <v>1500</v>
      </c>
      <c r="S148" s="53">
        <v>1500</v>
      </c>
      <c r="T148" s="53">
        <v>1500</v>
      </c>
      <c r="U148" s="53">
        <v>1500</v>
      </c>
      <c r="V148" s="53">
        <v>1500</v>
      </c>
      <c r="W148" s="53">
        <v>1500</v>
      </c>
      <c r="X148" s="53">
        <v>1500</v>
      </c>
      <c r="Y148" s="53">
        <v>1500</v>
      </c>
      <c r="Z148" s="53">
        <v>1500</v>
      </c>
      <c r="AA148" s="53">
        <v>1500</v>
      </c>
      <c r="AB148" s="53">
        <v>1500</v>
      </c>
      <c r="AC148" s="53">
        <v>1500</v>
      </c>
      <c r="AD148" s="53">
        <v>1500</v>
      </c>
      <c r="AE148" s="53">
        <v>1500</v>
      </c>
      <c r="AF148" s="53">
        <v>1500</v>
      </c>
      <c r="AG148" s="53">
        <v>1500</v>
      </c>
      <c r="AH148" s="53">
        <v>1500</v>
      </c>
      <c r="AI148" s="53">
        <v>1500</v>
      </c>
      <c r="AJ148" s="53">
        <v>1500</v>
      </c>
      <c r="AK148" s="53">
        <v>1500</v>
      </c>
      <c r="AL148" s="53">
        <v>1500</v>
      </c>
      <c r="AM148" s="53">
        <v>1500</v>
      </c>
      <c r="AN148" s="53">
        <v>2500</v>
      </c>
      <c r="AO148" s="53">
        <v>2500</v>
      </c>
      <c r="AP148" s="53">
        <v>2500</v>
      </c>
      <c r="AQ148" s="53">
        <v>2500</v>
      </c>
      <c r="AR148" s="53">
        <v>2500</v>
      </c>
      <c r="AS148" s="53">
        <v>2500</v>
      </c>
      <c r="AT148" s="53">
        <v>2500</v>
      </c>
      <c r="AU148" s="53">
        <v>2500</v>
      </c>
      <c r="AV148" s="53">
        <v>2500</v>
      </c>
      <c r="AW148" s="53">
        <v>2500</v>
      </c>
      <c r="AX148" s="53">
        <f t="shared" ref="AX148:CU148" si="91">2500*1.2</f>
        <v>3000</v>
      </c>
      <c r="AY148" s="53">
        <f t="shared" si="91"/>
        <v>3000</v>
      </c>
      <c r="AZ148" s="53">
        <f t="shared" si="91"/>
        <v>3000</v>
      </c>
      <c r="BA148" s="53">
        <f t="shared" si="91"/>
        <v>3000</v>
      </c>
      <c r="BB148" s="53">
        <f t="shared" si="91"/>
        <v>3000</v>
      </c>
      <c r="BC148" s="53">
        <f t="shared" si="91"/>
        <v>3000</v>
      </c>
      <c r="BD148" s="53">
        <f t="shared" si="91"/>
        <v>3000</v>
      </c>
      <c r="BE148" s="53">
        <f t="shared" si="91"/>
        <v>3000</v>
      </c>
      <c r="BF148" s="53">
        <f t="shared" si="91"/>
        <v>3000</v>
      </c>
      <c r="BG148" s="53">
        <f t="shared" si="91"/>
        <v>3000</v>
      </c>
      <c r="BH148" s="53">
        <f t="shared" si="91"/>
        <v>3000</v>
      </c>
      <c r="BI148" s="53">
        <f t="shared" si="91"/>
        <v>3000</v>
      </c>
      <c r="BJ148" s="53">
        <f t="shared" si="91"/>
        <v>3000</v>
      </c>
      <c r="BK148" s="53">
        <f t="shared" si="91"/>
        <v>3000</v>
      </c>
      <c r="BL148" s="53">
        <f t="shared" si="91"/>
        <v>3000</v>
      </c>
      <c r="BM148" s="53">
        <f t="shared" si="91"/>
        <v>3000</v>
      </c>
      <c r="BN148" s="53">
        <f t="shared" si="91"/>
        <v>3000</v>
      </c>
      <c r="BO148" s="53">
        <f t="shared" si="91"/>
        <v>3000</v>
      </c>
      <c r="BP148" s="53">
        <f t="shared" si="91"/>
        <v>3000</v>
      </c>
      <c r="BQ148" s="53">
        <f t="shared" si="91"/>
        <v>3000</v>
      </c>
      <c r="BR148" s="53">
        <f t="shared" si="91"/>
        <v>3000</v>
      </c>
      <c r="BS148" s="53">
        <f t="shared" si="91"/>
        <v>3000</v>
      </c>
      <c r="BT148" s="53">
        <f t="shared" si="91"/>
        <v>3000</v>
      </c>
      <c r="BU148" s="53">
        <f t="shared" si="91"/>
        <v>3000</v>
      </c>
      <c r="BV148" s="53">
        <f t="shared" si="91"/>
        <v>3000</v>
      </c>
      <c r="BW148" s="53">
        <f t="shared" si="91"/>
        <v>3000</v>
      </c>
      <c r="BX148" s="53">
        <f t="shared" si="91"/>
        <v>3000</v>
      </c>
      <c r="BY148" s="53">
        <f t="shared" si="91"/>
        <v>3000</v>
      </c>
      <c r="BZ148" s="53">
        <f t="shared" si="91"/>
        <v>3000</v>
      </c>
      <c r="CA148" s="53">
        <f t="shared" si="91"/>
        <v>3000</v>
      </c>
      <c r="CB148" s="53">
        <f t="shared" si="91"/>
        <v>3000</v>
      </c>
      <c r="CC148" s="53">
        <f t="shared" si="91"/>
        <v>3000</v>
      </c>
      <c r="CD148" s="53">
        <f t="shared" si="91"/>
        <v>3000</v>
      </c>
      <c r="CE148" s="53">
        <f t="shared" si="91"/>
        <v>3000</v>
      </c>
      <c r="CF148" s="53">
        <f t="shared" si="91"/>
        <v>3000</v>
      </c>
      <c r="CG148" s="53">
        <f t="shared" si="91"/>
        <v>3000</v>
      </c>
      <c r="CH148" s="53">
        <f t="shared" si="91"/>
        <v>3000</v>
      </c>
      <c r="CI148" s="53">
        <f t="shared" si="91"/>
        <v>3000</v>
      </c>
      <c r="CJ148" s="53">
        <f t="shared" si="91"/>
        <v>3000</v>
      </c>
      <c r="CK148" s="53">
        <f t="shared" si="91"/>
        <v>3000</v>
      </c>
      <c r="CL148" s="53">
        <f t="shared" si="91"/>
        <v>3000</v>
      </c>
      <c r="CM148" s="53">
        <f t="shared" si="91"/>
        <v>3000</v>
      </c>
      <c r="CN148" s="53">
        <f t="shared" si="91"/>
        <v>3000</v>
      </c>
      <c r="CO148" s="53">
        <f t="shared" si="91"/>
        <v>3000</v>
      </c>
      <c r="CP148" s="53">
        <f t="shared" si="91"/>
        <v>3000</v>
      </c>
      <c r="CQ148" s="53">
        <f t="shared" si="91"/>
        <v>3000</v>
      </c>
      <c r="CR148" s="53">
        <f t="shared" si="91"/>
        <v>3000</v>
      </c>
      <c r="CS148" s="53">
        <f t="shared" si="91"/>
        <v>3000</v>
      </c>
      <c r="CT148" s="53">
        <f t="shared" si="91"/>
        <v>3000</v>
      </c>
      <c r="CU148" s="53">
        <f t="shared" si="91"/>
        <v>3000</v>
      </c>
    </row>
    <row r="149" spans="1:100" ht="15.75" customHeight="1" outlineLevel="4">
      <c r="A149" s="347"/>
      <c r="B149" s="21"/>
      <c r="C149" s="347" t="s">
        <v>88</v>
      </c>
      <c r="D149" s="53">
        <v>60000</v>
      </c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>
        <v>2000</v>
      </c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>
        <v>2000</v>
      </c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>
        <v>2000</v>
      </c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>
        <v>4000</v>
      </c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>
        <v>8000</v>
      </c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>
        <v>16000</v>
      </c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>
        <v>32000</v>
      </c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</row>
    <row r="150" spans="1:100" ht="15.75" customHeight="1" outlineLevel="3">
      <c r="A150" s="84"/>
      <c r="B150" s="21"/>
      <c r="C150" s="21"/>
      <c r="D150" s="5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</row>
    <row r="151" spans="1:100" ht="15.75" customHeight="1" outlineLevel="3">
      <c r="A151" s="84"/>
      <c r="B151" s="30">
        <v>1.7</v>
      </c>
      <c r="C151" s="31" t="s">
        <v>89</v>
      </c>
      <c r="D151" s="355">
        <f t="shared" ref="D151:BI151" si="92">SUM(D152:D162)</f>
        <v>3000</v>
      </c>
      <c r="E151" s="355">
        <f t="shared" si="92"/>
        <v>600</v>
      </c>
      <c r="F151" s="355">
        <f t="shared" si="92"/>
        <v>7324.741</v>
      </c>
      <c r="G151" s="355">
        <f t="shared" si="92"/>
        <v>7324.741</v>
      </c>
      <c r="H151" s="355">
        <f t="shared" si="92"/>
        <v>7324.741</v>
      </c>
      <c r="I151" s="355">
        <f t="shared" si="92"/>
        <v>7424.741</v>
      </c>
      <c r="J151" s="355">
        <f t="shared" si="92"/>
        <v>7424.741</v>
      </c>
      <c r="K151" s="355">
        <f t="shared" si="92"/>
        <v>7424.741</v>
      </c>
      <c r="L151" s="355">
        <f t="shared" si="92"/>
        <v>7424.741</v>
      </c>
      <c r="M151" s="355">
        <f t="shared" si="92"/>
        <v>7424.741</v>
      </c>
      <c r="N151" s="355">
        <f t="shared" si="92"/>
        <v>7424.741</v>
      </c>
      <c r="O151" s="355">
        <f t="shared" si="92"/>
        <v>8424.741</v>
      </c>
      <c r="P151" s="355">
        <f t="shared" si="92"/>
        <v>7840.9969999999994</v>
      </c>
      <c r="Q151" s="355">
        <f t="shared" si="92"/>
        <v>7840.9969999999994</v>
      </c>
      <c r="R151" s="355">
        <f t="shared" si="92"/>
        <v>7840.9969999999994</v>
      </c>
      <c r="S151" s="355">
        <f t="shared" si="92"/>
        <v>7840.9969999999994</v>
      </c>
      <c r="T151" s="355">
        <f t="shared" si="92"/>
        <v>7840.9969999999994</v>
      </c>
      <c r="U151" s="355">
        <f t="shared" si="92"/>
        <v>7840.9969999999994</v>
      </c>
      <c r="V151" s="355">
        <f t="shared" si="92"/>
        <v>7957.2530000000006</v>
      </c>
      <c r="W151" s="355">
        <f t="shared" si="92"/>
        <v>7957.2530000000006</v>
      </c>
      <c r="X151" s="355">
        <f t="shared" si="92"/>
        <v>7957.2530000000006</v>
      </c>
      <c r="Y151" s="355">
        <f t="shared" si="92"/>
        <v>8257.2530000000006</v>
      </c>
      <c r="Z151" s="355">
        <f t="shared" si="92"/>
        <v>8957.2530000000006</v>
      </c>
      <c r="AA151" s="355">
        <f t="shared" si="92"/>
        <v>9957.2530000000006</v>
      </c>
      <c r="AB151" s="355">
        <f t="shared" si="92"/>
        <v>26755.466</v>
      </c>
      <c r="AC151" s="355">
        <f t="shared" si="92"/>
        <v>8255.4660000000003</v>
      </c>
      <c r="AD151" s="355">
        <f t="shared" si="92"/>
        <v>8255.4660000000003</v>
      </c>
      <c r="AE151" s="355">
        <f t="shared" si="92"/>
        <v>8755.4660000000003</v>
      </c>
      <c r="AF151" s="355">
        <f t="shared" si="92"/>
        <v>8755.4660000000003</v>
      </c>
      <c r="AG151" s="355">
        <f t="shared" si="92"/>
        <v>9133.1990000000005</v>
      </c>
      <c r="AH151" s="355">
        <f t="shared" si="92"/>
        <v>9133.1990000000005</v>
      </c>
      <c r="AI151" s="355">
        <f t="shared" si="92"/>
        <v>9133.1990000000005</v>
      </c>
      <c r="AJ151" s="355">
        <f t="shared" si="92"/>
        <v>9133.1990000000005</v>
      </c>
      <c r="AK151" s="355">
        <f t="shared" si="92"/>
        <v>9133.1990000000005</v>
      </c>
      <c r="AL151" s="355">
        <f t="shared" si="92"/>
        <v>9133.1990000000005</v>
      </c>
      <c r="AM151" s="355">
        <f t="shared" si="92"/>
        <v>10278.42</v>
      </c>
      <c r="AN151" s="355">
        <f t="shared" si="92"/>
        <v>9580.884</v>
      </c>
      <c r="AO151" s="355">
        <f t="shared" si="92"/>
        <v>9580.884</v>
      </c>
      <c r="AP151" s="355">
        <f t="shared" si="92"/>
        <v>9580.884</v>
      </c>
      <c r="AQ151" s="355">
        <f t="shared" si="92"/>
        <v>11980.884</v>
      </c>
      <c r="AR151" s="355">
        <f t="shared" si="92"/>
        <v>9580.884</v>
      </c>
      <c r="AS151" s="355">
        <f t="shared" si="92"/>
        <v>10161.768</v>
      </c>
      <c r="AT151" s="355">
        <f t="shared" si="92"/>
        <v>9871.3260000000009</v>
      </c>
      <c r="AU151" s="355">
        <f t="shared" si="92"/>
        <v>9871.3260000000009</v>
      </c>
      <c r="AV151" s="355">
        <f t="shared" si="92"/>
        <v>9871.3260000000009</v>
      </c>
      <c r="AW151" s="355">
        <f t="shared" si="92"/>
        <v>9871.3260000000009</v>
      </c>
      <c r="AX151" s="355">
        <f t="shared" si="92"/>
        <v>12871.326000000001</v>
      </c>
      <c r="AY151" s="355">
        <f t="shared" si="92"/>
        <v>11752.21</v>
      </c>
      <c r="AZ151" s="355">
        <f t="shared" si="92"/>
        <v>64077.430999999997</v>
      </c>
      <c r="BA151" s="355">
        <f t="shared" si="92"/>
        <v>16477.431</v>
      </c>
      <c r="BB151" s="355">
        <f t="shared" si="92"/>
        <v>14948.757</v>
      </c>
      <c r="BC151" s="355">
        <f t="shared" si="92"/>
        <v>96213.093999999997</v>
      </c>
      <c r="BD151" s="355">
        <f t="shared" si="92"/>
        <v>17113.094000000001</v>
      </c>
      <c r="BE151" s="355">
        <f t="shared" si="92"/>
        <v>15874.862000000001</v>
      </c>
      <c r="BF151" s="355">
        <f t="shared" si="92"/>
        <v>15874.862000000001</v>
      </c>
      <c r="BG151" s="355">
        <f t="shared" si="92"/>
        <v>18274.862000000001</v>
      </c>
      <c r="BH151" s="355">
        <f t="shared" si="92"/>
        <v>17036.63</v>
      </c>
      <c r="BI151" s="355">
        <f t="shared" si="92"/>
        <v>17036.63</v>
      </c>
      <c r="BJ151" s="355">
        <f>SUM(BJ152:BJ162)</f>
        <v>17036.63</v>
      </c>
      <c r="BK151" s="355">
        <f t="shared" ref="BK151:CU151" si="93">SUM(BK152:BK162)</f>
        <v>17036.63</v>
      </c>
      <c r="BL151" s="355">
        <f t="shared" si="93"/>
        <v>117327.072</v>
      </c>
      <c r="BM151" s="355">
        <f t="shared" si="93"/>
        <v>26827.072</v>
      </c>
      <c r="BN151" s="355">
        <f t="shared" si="93"/>
        <v>22569.724000000002</v>
      </c>
      <c r="BO151" s="355">
        <f t="shared" si="93"/>
        <v>21698.398000000001</v>
      </c>
      <c r="BP151" s="355">
        <f t="shared" si="93"/>
        <v>27698.398000000001</v>
      </c>
      <c r="BQ151" s="355">
        <f t="shared" si="93"/>
        <v>24021.934000000001</v>
      </c>
      <c r="BR151" s="355">
        <f t="shared" si="93"/>
        <v>24021.934000000001</v>
      </c>
      <c r="BS151" s="355">
        <f t="shared" si="93"/>
        <v>30021.934000000001</v>
      </c>
      <c r="BT151" s="355">
        <f t="shared" si="93"/>
        <v>26345.47</v>
      </c>
      <c r="BU151" s="355">
        <f t="shared" si="93"/>
        <v>26345.47</v>
      </c>
      <c r="BV151" s="355">
        <f t="shared" si="93"/>
        <v>26345.47</v>
      </c>
      <c r="BW151" s="355">
        <f t="shared" si="93"/>
        <v>26345.47</v>
      </c>
      <c r="BX151" s="355">
        <f t="shared" si="93"/>
        <v>126781.133</v>
      </c>
      <c r="BY151" s="355">
        <f t="shared" si="93"/>
        <v>34781.133000000002</v>
      </c>
      <c r="BZ151" s="355">
        <f t="shared" si="93"/>
        <v>29395.111000000001</v>
      </c>
      <c r="CA151" s="355">
        <f t="shared" si="93"/>
        <v>28088.121999999999</v>
      </c>
      <c r="CB151" s="355">
        <f t="shared" si="93"/>
        <v>36088.122000000003</v>
      </c>
      <c r="CC151" s="355">
        <f t="shared" si="93"/>
        <v>31573.425999999999</v>
      </c>
      <c r="CD151" s="355">
        <f t="shared" si="93"/>
        <v>31573.425999999999</v>
      </c>
      <c r="CE151" s="355">
        <f t="shared" si="93"/>
        <v>39573.425999999999</v>
      </c>
      <c r="CF151" s="355">
        <f t="shared" si="93"/>
        <v>35058.729999999996</v>
      </c>
      <c r="CG151" s="355">
        <f t="shared" si="93"/>
        <v>35058.729999999996</v>
      </c>
      <c r="CH151" s="355">
        <f t="shared" si="93"/>
        <v>35058.729999999996</v>
      </c>
      <c r="CI151" s="355">
        <f t="shared" si="93"/>
        <v>35058.729999999996</v>
      </c>
      <c r="CJ151" s="355">
        <f t="shared" si="93"/>
        <v>34639.614000000001</v>
      </c>
      <c r="CK151" s="355">
        <f t="shared" si="93"/>
        <v>44639.614000000001</v>
      </c>
      <c r="CL151" s="355">
        <f t="shared" si="93"/>
        <v>38124.918000000005</v>
      </c>
      <c r="CM151" s="355">
        <f t="shared" si="93"/>
        <v>36382.266000000003</v>
      </c>
      <c r="CN151" s="355">
        <f t="shared" si="93"/>
        <v>46382.266000000003</v>
      </c>
      <c r="CO151" s="355">
        <f t="shared" si="93"/>
        <v>41029.338000000003</v>
      </c>
      <c r="CP151" s="355">
        <f t="shared" si="93"/>
        <v>41029.338000000003</v>
      </c>
      <c r="CQ151" s="355">
        <f t="shared" si="93"/>
        <v>51029.338000000003</v>
      </c>
      <c r="CR151" s="355">
        <f t="shared" si="93"/>
        <v>45676.41</v>
      </c>
      <c r="CS151" s="355">
        <f t="shared" si="93"/>
        <v>45676.41</v>
      </c>
      <c r="CT151" s="355">
        <f t="shared" si="93"/>
        <v>45676.41</v>
      </c>
      <c r="CU151" s="355">
        <f t="shared" si="93"/>
        <v>45676.41</v>
      </c>
    </row>
    <row r="152" spans="1:100" ht="15.75" customHeight="1" outlineLevel="3">
      <c r="A152" s="347"/>
      <c r="B152" s="21"/>
      <c r="C152" s="347" t="s">
        <v>90</v>
      </c>
      <c r="D152" s="53"/>
      <c r="E152" s="53"/>
      <c r="F152" s="53">
        <v>500</v>
      </c>
      <c r="G152" s="53">
        <v>500</v>
      </c>
      <c r="H152" s="53">
        <v>500</v>
      </c>
      <c r="I152" s="53">
        <v>500</v>
      </c>
      <c r="J152" s="53">
        <v>500</v>
      </c>
      <c r="K152" s="53">
        <v>500</v>
      </c>
      <c r="L152" s="53">
        <v>500</v>
      </c>
      <c r="M152" s="53">
        <v>500</v>
      </c>
      <c r="N152" s="53">
        <v>500</v>
      </c>
      <c r="O152" s="53">
        <v>500</v>
      </c>
      <c r="P152" s="53">
        <v>800</v>
      </c>
      <c r="Q152" s="53">
        <v>800</v>
      </c>
      <c r="R152" s="53">
        <v>800</v>
      </c>
      <c r="S152" s="53">
        <v>800</v>
      </c>
      <c r="T152" s="53">
        <v>800</v>
      </c>
      <c r="U152" s="53">
        <v>800</v>
      </c>
      <c r="V152" s="53">
        <v>800</v>
      </c>
      <c r="W152" s="53">
        <v>800</v>
      </c>
      <c r="X152" s="53">
        <v>800</v>
      </c>
      <c r="Y152" s="53">
        <v>800</v>
      </c>
      <c r="Z152" s="53">
        <v>1500</v>
      </c>
      <c r="AA152" s="53">
        <v>1500</v>
      </c>
      <c r="AB152" s="53">
        <v>20000</v>
      </c>
      <c r="AC152" s="53">
        <v>1500</v>
      </c>
      <c r="AD152" s="53">
        <v>1500</v>
      </c>
      <c r="AE152" s="53">
        <v>2000</v>
      </c>
      <c r="AF152" s="53">
        <v>2000</v>
      </c>
      <c r="AG152" s="53">
        <v>2000</v>
      </c>
      <c r="AH152" s="53">
        <v>2000</v>
      </c>
      <c r="AI152" s="53">
        <v>2000</v>
      </c>
      <c r="AJ152" s="53">
        <v>2000</v>
      </c>
      <c r="AK152" s="53">
        <v>2000</v>
      </c>
      <c r="AL152" s="53">
        <v>2000</v>
      </c>
      <c r="AM152" s="53">
        <v>2000</v>
      </c>
      <c r="AN152" s="53">
        <v>3000</v>
      </c>
      <c r="AO152" s="53">
        <v>3000</v>
      </c>
      <c r="AP152" s="53">
        <v>3000</v>
      </c>
      <c r="AQ152" s="53">
        <v>3000</v>
      </c>
      <c r="AR152" s="53">
        <v>3000</v>
      </c>
      <c r="AS152" s="53">
        <v>3000</v>
      </c>
      <c r="AT152" s="53">
        <v>3000</v>
      </c>
      <c r="AU152" s="53">
        <v>3000</v>
      </c>
      <c r="AV152" s="53">
        <v>3000</v>
      </c>
      <c r="AW152" s="53">
        <v>3000</v>
      </c>
      <c r="AX152" s="53">
        <f t="shared" ref="AX152:CU152" si="94">3000*1.2</f>
        <v>3600</v>
      </c>
      <c r="AY152" s="53">
        <f t="shared" si="94"/>
        <v>3600</v>
      </c>
      <c r="AZ152" s="53">
        <f t="shared" si="94"/>
        <v>3600</v>
      </c>
      <c r="BA152" s="53">
        <f t="shared" si="94"/>
        <v>3600</v>
      </c>
      <c r="BB152" s="53">
        <f t="shared" si="94"/>
        <v>3600</v>
      </c>
      <c r="BC152" s="53">
        <f t="shared" si="94"/>
        <v>3600</v>
      </c>
      <c r="BD152" s="53">
        <f t="shared" si="94"/>
        <v>3600</v>
      </c>
      <c r="BE152" s="53">
        <f t="shared" si="94"/>
        <v>3600</v>
      </c>
      <c r="BF152" s="53">
        <f t="shared" si="94"/>
        <v>3600</v>
      </c>
      <c r="BG152" s="53">
        <f t="shared" si="94"/>
        <v>3600</v>
      </c>
      <c r="BH152" s="53">
        <f t="shared" si="94"/>
        <v>3600</v>
      </c>
      <c r="BI152" s="53">
        <f t="shared" si="94"/>
        <v>3600</v>
      </c>
      <c r="BJ152" s="53">
        <f t="shared" si="94"/>
        <v>3600</v>
      </c>
      <c r="BK152" s="53">
        <f t="shared" si="94"/>
        <v>3600</v>
      </c>
      <c r="BL152" s="53">
        <f t="shared" si="94"/>
        <v>3600</v>
      </c>
      <c r="BM152" s="53">
        <f t="shared" si="94"/>
        <v>3600</v>
      </c>
      <c r="BN152" s="53">
        <f t="shared" si="94"/>
        <v>3600</v>
      </c>
      <c r="BO152" s="53">
        <f t="shared" si="94"/>
        <v>3600</v>
      </c>
      <c r="BP152" s="53">
        <f t="shared" si="94"/>
        <v>3600</v>
      </c>
      <c r="BQ152" s="53">
        <f t="shared" si="94"/>
        <v>3600</v>
      </c>
      <c r="BR152" s="53">
        <f t="shared" si="94"/>
        <v>3600</v>
      </c>
      <c r="BS152" s="53">
        <f t="shared" si="94"/>
        <v>3600</v>
      </c>
      <c r="BT152" s="53">
        <f t="shared" si="94"/>
        <v>3600</v>
      </c>
      <c r="BU152" s="53">
        <f t="shared" si="94"/>
        <v>3600</v>
      </c>
      <c r="BV152" s="53">
        <f t="shared" si="94"/>
        <v>3600</v>
      </c>
      <c r="BW152" s="53">
        <f t="shared" si="94"/>
        <v>3600</v>
      </c>
      <c r="BX152" s="53">
        <f t="shared" si="94"/>
        <v>3600</v>
      </c>
      <c r="BY152" s="53">
        <f t="shared" si="94"/>
        <v>3600</v>
      </c>
      <c r="BZ152" s="53">
        <f t="shared" si="94"/>
        <v>3600</v>
      </c>
      <c r="CA152" s="53">
        <f t="shared" si="94"/>
        <v>3600</v>
      </c>
      <c r="CB152" s="53">
        <f t="shared" si="94"/>
        <v>3600</v>
      </c>
      <c r="CC152" s="53">
        <f t="shared" si="94"/>
        <v>3600</v>
      </c>
      <c r="CD152" s="53">
        <f t="shared" si="94"/>
        <v>3600</v>
      </c>
      <c r="CE152" s="53">
        <f t="shared" si="94"/>
        <v>3600</v>
      </c>
      <c r="CF152" s="53">
        <f t="shared" si="94"/>
        <v>3600</v>
      </c>
      <c r="CG152" s="53">
        <f t="shared" si="94"/>
        <v>3600</v>
      </c>
      <c r="CH152" s="53">
        <f t="shared" si="94"/>
        <v>3600</v>
      </c>
      <c r="CI152" s="53">
        <f t="shared" si="94"/>
        <v>3600</v>
      </c>
      <c r="CJ152" s="53">
        <f t="shared" si="94"/>
        <v>3600</v>
      </c>
      <c r="CK152" s="53">
        <f t="shared" si="94"/>
        <v>3600</v>
      </c>
      <c r="CL152" s="53">
        <f t="shared" si="94"/>
        <v>3600</v>
      </c>
      <c r="CM152" s="53">
        <f t="shared" si="94"/>
        <v>3600</v>
      </c>
      <c r="CN152" s="53">
        <f t="shared" si="94"/>
        <v>3600</v>
      </c>
      <c r="CO152" s="53">
        <f t="shared" si="94"/>
        <v>3600</v>
      </c>
      <c r="CP152" s="53">
        <f t="shared" si="94"/>
        <v>3600</v>
      </c>
      <c r="CQ152" s="53">
        <f t="shared" si="94"/>
        <v>3600</v>
      </c>
      <c r="CR152" s="53">
        <f t="shared" si="94"/>
        <v>3600</v>
      </c>
      <c r="CS152" s="53">
        <f t="shared" si="94"/>
        <v>3600</v>
      </c>
      <c r="CT152" s="53">
        <f t="shared" si="94"/>
        <v>3600</v>
      </c>
      <c r="CU152" s="53">
        <f t="shared" si="94"/>
        <v>3600</v>
      </c>
    </row>
    <row r="153" spans="1:100" ht="15.75" customHeight="1" outlineLevel="3">
      <c r="A153" s="347"/>
      <c r="B153" s="28"/>
      <c r="C153" s="348" t="s">
        <v>91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>
        <f>0.24*P168*P165</f>
        <v>116.256</v>
      </c>
      <c r="Q153" s="53">
        <f t="shared" ref="Q153:AM153" si="95">0.24*Q168*Q165</f>
        <v>116.256</v>
      </c>
      <c r="R153" s="53">
        <f t="shared" si="95"/>
        <v>116.256</v>
      </c>
      <c r="S153" s="53">
        <f t="shared" si="95"/>
        <v>116.256</v>
      </c>
      <c r="T153" s="53">
        <f t="shared" si="95"/>
        <v>116.256</v>
      </c>
      <c r="U153" s="53">
        <f t="shared" si="95"/>
        <v>116.256</v>
      </c>
      <c r="V153" s="53">
        <f t="shared" si="95"/>
        <v>232.512</v>
      </c>
      <c r="W153" s="53">
        <f t="shared" si="95"/>
        <v>232.512</v>
      </c>
      <c r="X153" s="53">
        <f t="shared" si="95"/>
        <v>232.512</v>
      </c>
      <c r="Y153" s="53">
        <f t="shared" si="95"/>
        <v>232.512</v>
      </c>
      <c r="Z153" s="53">
        <f t="shared" si="95"/>
        <v>232.512</v>
      </c>
      <c r="AA153" s="53">
        <f t="shared" si="95"/>
        <v>232.512</v>
      </c>
      <c r="AB153" s="53">
        <f t="shared" si="95"/>
        <v>465.024</v>
      </c>
      <c r="AC153" s="53">
        <f t="shared" si="95"/>
        <v>465.024</v>
      </c>
      <c r="AD153" s="53">
        <f t="shared" si="95"/>
        <v>465.024</v>
      </c>
      <c r="AE153" s="53">
        <f t="shared" si="95"/>
        <v>465.024</v>
      </c>
      <c r="AF153" s="53">
        <f t="shared" si="95"/>
        <v>465.024</v>
      </c>
      <c r="AG153" s="53">
        <f t="shared" si="95"/>
        <v>697.53600000000006</v>
      </c>
      <c r="AH153" s="53">
        <f t="shared" si="95"/>
        <v>697.53600000000006</v>
      </c>
      <c r="AI153" s="53">
        <f t="shared" si="95"/>
        <v>697.53600000000006</v>
      </c>
      <c r="AJ153" s="53">
        <f t="shared" si="95"/>
        <v>697.53600000000006</v>
      </c>
      <c r="AK153" s="53">
        <f t="shared" si="95"/>
        <v>697.53600000000006</v>
      </c>
      <c r="AL153" s="53">
        <f t="shared" si="95"/>
        <v>697.53600000000006</v>
      </c>
      <c r="AM153" s="53">
        <f t="shared" si="95"/>
        <v>697.53599999999994</v>
      </c>
      <c r="AN153" s="53">
        <f>0.24*(AN168+AN170)*AN165</f>
        <v>0</v>
      </c>
      <c r="AO153" s="53">
        <f t="shared" ref="AO153:BB153" si="96">0.24*(AO168+AO170)*AO165</f>
        <v>0</v>
      </c>
      <c r="AP153" s="53">
        <f t="shared" si="96"/>
        <v>0</v>
      </c>
      <c r="AQ153" s="53">
        <f t="shared" si="96"/>
        <v>0</v>
      </c>
      <c r="AR153" s="53">
        <f t="shared" si="96"/>
        <v>0</v>
      </c>
      <c r="AS153" s="53">
        <f t="shared" si="96"/>
        <v>0</v>
      </c>
      <c r="AT153" s="53">
        <f t="shared" si="96"/>
        <v>0</v>
      </c>
      <c r="AU153" s="53">
        <f t="shared" si="96"/>
        <v>0</v>
      </c>
      <c r="AV153" s="53">
        <f t="shared" si="96"/>
        <v>0</v>
      </c>
      <c r="AW153" s="53">
        <f t="shared" si="96"/>
        <v>0</v>
      </c>
      <c r="AX153" s="53">
        <f t="shared" si="96"/>
        <v>0</v>
      </c>
      <c r="AY153" s="53">
        <f t="shared" si="96"/>
        <v>0</v>
      </c>
      <c r="AZ153" s="53">
        <f t="shared" si="96"/>
        <v>0</v>
      </c>
      <c r="BA153" s="53">
        <f t="shared" si="96"/>
        <v>0</v>
      </c>
      <c r="BB153" s="53">
        <f t="shared" si="96"/>
        <v>0</v>
      </c>
      <c r="BC153" s="53">
        <v>200</v>
      </c>
      <c r="BD153" s="53">
        <v>200</v>
      </c>
      <c r="BE153" s="53">
        <v>200</v>
      </c>
      <c r="BF153" s="53">
        <v>200</v>
      </c>
      <c r="BG153" s="53">
        <v>200</v>
      </c>
      <c r="BH153" s="53">
        <v>200</v>
      </c>
      <c r="BI153" s="53">
        <v>200</v>
      </c>
      <c r="BJ153" s="53">
        <v>200</v>
      </c>
      <c r="BK153" s="53">
        <v>200</v>
      </c>
      <c r="BL153" s="53">
        <v>200</v>
      </c>
      <c r="BM153" s="53">
        <v>200</v>
      </c>
      <c r="BN153" s="53">
        <v>200</v>
      </c>
      <c r="BO153" s="53">
        <v>200</v>
      </c>
      <c r="BP153" s="53">
        <v>200</v>
      </c>
      <c r="BQ153" s="53">
        <v>200</v>
      </c>
      <c r="BR153" s="53">
        <v>200</v>
      </c>
      <c r="BS153" s="53">
        <v>200</v>
      </c>
      <c r="BT153" s="53">
        <v>200</v>
      </c>
      <c r="BU153" s="53">
        <v>200</v>
      </c>
      <c r="BV153" s="53">
        <v>200</v>
      </c>
      <c r="BW153" s="53">
        <v>200</v>
      </c>
      <c r="BX153" s="53">
        <v>200</v>
      </c>
      <c r="BY153" s="53">
        <v>200</v>
      </c>
      <c r="BZ153" s="53">
        <v>200</v>
      </c>
      <c r="CA153" s="53">
        <v>200</v>
      </c>
      <c r="CB153" s="53">
        <v>200</v>
      </c>
      <c r="CC153" s="53">
        <v>200</v>
      </c>
      <c r="CD153" s="53">
        <v>200</v>
      </c>
      <c r="CE153" s="53">
        <v>200</v>
      </c>
      <c r="CF153" s="53">
        <v>200</v>
      </c>
      <c r="CG153" s="53">
        <v>200</v>
      </c>
      <c r="CH153" s="53">
        <v>200</v>
      </c>
      <c r="CI153" s="53">
        <v>200</v>
      </c>
      <c r="CJ153" s="53">
        <v>200</v>
      </c>
      <c r="CK153" s="53">
        <v>200</v>
      </c>
      <c r="CL153" s="53">
        <v>200</v>
      </c>
      <c r="CM153" s="53">
        <v>200</v>
      </c>
      <c r="CN153" s="53">
        <v>200</v>
      </c>
      <c r="CO153" s="53">
        <v>200</v>
      </c>
      <c r="CP153" s="53">
        <v>200</v>
      </c>
      <c r="CQ153" s="53">
        <v>200</v>
      </c>
      <c r="CR153" s="53">
        <v>200</v>
      </c>
      <c r="CS153" s="53">
        <v>200</v>
      </c>
      <c r="CT153" s="53">
        <v>200</v>
      </c>
      <c r="CU153" s="53">
        <v>200</v>
      </c>
    </row>
    <row r="154" spans="1:100" ht="15.75" customHeight="1" outlineLevel="3">
      <c r="A154" s="347"/>
      <c r="B154" s="28"/>
      <c r="C154" s="348" t="s">
        <v>92</v>
      </c>
      <c r="D154" s="53"/>
      <c r="E154" s="53"/>
      <c r="F154" s="53">
        <v>1079.52</v>
      </c>
      <c r="G154" s="53">
        <v>1079.52</v>
      </c>
      <c r="H154" s="53">
        <v>1079.52</v>
      </c>
      <c r="I154" s="53">
        <v>1079.52</v>
      </c>
      <c r="J154" s="53">
        <v>1079.52</v>
      </c>
      <c r="K154" s="53">
        <v>1079.52</v>
      </c>
      <c r="L154" s="53">
        <v>1079.52</v>
      </c>
      <c r="M154" s="53">
        <v>1079.52</v>
      </c>
      <c r="N154" s="53">
        <v>1079.52</v>
      </c>
      <c r="O154" s="53">
        <v>1079.52</v>
      </c>
      <c r="P154" s="53">
        <v>1079.52</v>
      </c>
      <c r="Q154" s="53">
        <v>1079.52</v>
      </c>
      <c r="R154" s="53">
        <v>1079.52</v>
      </c>
      <c r="S154" s="53">
        <v>1079.52</v>
      </c>
      <c r="T154" s="53">
        <v>1079.52</v>
      </c>
      <c r="U154" s="53">
        <v>1079.52</v>
      </c>
      <c r="V154" s="53">
        <v>1079.52</v>
      </c>
      <c r="W154" s="53">
        <v>1079.52</v>
      </c>
      <c r="X154" s="53">
        <v>1079.52</v>
      </c>
      <c r="Y154" s="53">
        <v>1079.52</v>
      </c>
      <c r="Z154" s="53">
        <v>1079.52</v>
      </c>
      <c r="AA154" s="53">
        <v>1079.52</v>
      </c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356">
        <v>1080</v>
      </c>
      <c r="BA154" s="357">
        <v>1080</v>
      </c>
      <c r="BB154" s="357">
        <v>1080</v>
      </c>
      <c r="BC154" s="357">
        <v>1080</v>
      </c>
      <c r="BD154" s="357">
        <v>1080</v>
      </c>
      <c r="BE154" s="357">
        <v>1080</v>
      </c>
      <c r="BF154" s="357">
        <v>1080</v>
      </c>
      <c r="BG154" s="357">
        <v>1080</v>
      </c>
      <c r="BH154" s="357">
        <v>1080</v>
      </c>
      <c r="BI154" s="357">
        <v>1080</v>
      </c>
      <c r="BJ154" s="357">
        <v>1080</v>
      </c>
      <c r="BK154" s="358">
        <v>1080</v>
      </c>
      <c r="BL154" s="356">
        <v>1080</v>
      </c>
      <c r="BM154" s="357">
        <v>1080</v>
      </c>
      <c r="BN154" s="357">
        <v>1080</v>
      </c>
      <c r="BO154" s="357">
        <v>1080</v>
      </c>
      <c r="BP154" s="357">
        <v>1080</v>
      </c>
      <c r="BQ154" s="357">
        <v>1080</v>
      </c>
      <c r="BR154" s="357">
        <v>1080</v>
      </c>
      <c r="BS154" s="357">
        <v>1080</v>
      </c>
      <c r="BT154" s="357">
        <v>1080</v>
      </c>
      <c r="BU154" s="357">
        <v>1080</v>
      </c>
      <c r="BV154" s="357">
        <v>1080</v>
      </c>
      <c r="BW154" s="358">
        <v>1080</v>
      </c>
      <c r="BX154" s="356">
        <v>1080</v>
      </c>
      <c r="BY154" s="357">
        <v>1080</v>
      </c>
      <c r="BZ154" s="357">
        <v>1080</v>
      </c>
      <c r="CA154" s="357">
        <v>1080</v>
      </c>
      <c r="CB154" s="357">
        <v>1080</v>
      </c>
      <c r="CC154" s="357">
        <v>1080</v>
      </c>
      <c r="CD154" s="357">
        <v>1080</v>
      </c>
      <c r="CE154" s="357">
        <v>1080</v>
      </c>
      <c r="CF154" s="357">
        <v>1080</v>
      </c>
      <c r="CG154" s="357">
        <v>1080</v>
      </c>
      <c r="CH154" s="357">
        <v>1080</v>
      </c>
      <c r="CI154" s="358">
        <v>1080</v>
      </c>
      <c r="CJ154" s="356">
        <v>1080</v>
      </c>
      <c r="CK154" s="357">
        <v>1080</v>
      </c>
      <c r="CL154" s="357">
        <v>1080</v>
      </c>
      <c r="CM154" s="357">
        <v>1080</v>
      </c>
      <c r="CN154" s="357">
        <v>1080</v>
      </c>
      <c r="CO154" s="357">
        <v>1080</v>
      </c>
      <c r="CP154" s="357">
        <v>1080</v>
      </c>
      <c r="CQ154" s="357">
        <v>1080</v>
      </c>
      <c r="CR154" s="357">
        <v>1080</v>
      </c>
      <c r="CS154" s="357">
        <v>1080</v>
      </c>
      <c r="CT154" s="357">
        <v>1080</v>
      </c>
      <c r="CU154" s="358">
        <v>1080</v>
      </c>
    </row>
    <row r="155" spans="1:100" customFormat="1" ht="15.75" customHeight="1" outlineLevel="2">
      <c r="A155" s="347" t="s">
        <v>93</v>
      </c>
      <c r="B155" s="349"/>
      <c r="C155" s="348" t="s">
        <v>94</v>
      </c>
      <c r="D155" s="371"/>
      <c r="E155" s="371"/>
      <c r="F155" s="371">
        <f>HMB!$E$40*0.87*(1+F186+F188+F190+F192+F194+F196)</f>
        <v>65.221000000000004</v>
      </c>
      <c r="G155" s="371">
        <f>HMB!$E$40*0.87*(1+G186+G188+G190+G192+G194+G196)</f>
        <v>65.221000000000004</v>
      </c>
      <c r="H155" s="371">
        <f>HMB!$E$40*0.87*(1+H186+H188+H190+H192+H194+H196)</f>
        <v>65.221000000000004</v>
      </c>
      <c r="I155" s="371">
        <f>HMB!$E$40*0.87*(1+I186+I188+I190+I192+I194+I196)</f>
        <v>65.221000000000004</v>
      </c>
      <c r="J155" s="371">
        <f>HMB!$E$40*0.87*(1+J186+J188+J190+J192+J194+J196)</f>
        <v>65.221000000000004</v>
      </c>
      <c r="K155" s="371">
        <f>HMB!$E$40*0.87*(1+K186+K188+K190+K192+K194+K196)</f>
        <v>65.221000000000004</v>
      </c>
      <c r="L155" s="371">
        <f>HMB!$E$40*0.87*(1+L186+L188+L190+L192+L194+L196)</f>
        <v>65.221000000000004</v>
      </c>
      <c r="M155" s="371">
        <f>HMB!$E$40*0.87*(1+M186+M188+M190+M192+M194+M196)</f>
        <v>65.221000000000004</v>
      </c>
      <c r="N155" s="371">
        <f>HMB!$E$40*0.87*(1+N186+N188+N190+N192+N194+N196)</f>
        <v>65.221000000000004</v>
      </c>
      <c r="O155" s="371">
        <f>HMB!$E$40*0.87*(1+O186+O188+O190+O192+O194+O196)</f>
        <v>65.221000000000004</v>
      </c>
      <c r="P155" s="371">
        <f>HMB!$E$40*0.87*(1+P186+P188+P190+P192+P194+P196)</f>
        <v>65.221000000000004</v>
      </c>
      <c r="Q155" s="371">
        <f>HMB!$E$40*0.87*(1+Q186+Q188+Q190+Q192+Q194+Q196)</f>
        <v>65.221000000000004</v>
      </c>
      <c r="R155" s="371">
        <f>HMB!$E$40*0.87*(1+R186+R188+R190+R192+R194+R196)</f>
        <v>65.221000000000004</v>
      </c>
      <c r="S155" s="371">
        <f>HMB!$E$40*0.87*(1+S186+S188+S190+S192+S194+S196)</f>
        <v>65.221000000000004</v>
      </c>
      <c r="T155" s="371">
        <f>HMB!$E$40*0.87*(1+T186+T188+T190+T192+T194+T196)</f>
        <v>65.221000000000004</v>
      </c>
      <c r="U155" s="371">
        <f>HMB!$E$40*0.87*(1+U186+U188+U190+U192+U194+U196)</f>
        <v>65.221000000000004</v>
      </c>
      <c r="V155" s="371">
        <f>HMB!$E$40*0.87*(1+V186+V188+V190+V192+V194+V196)</f>
        <v>65.221000000000004</v>
      </c>
      <c r="W155" s="371">
        <f>HMB!$E$40*0.87*(1+W186+W188+W190+W192+W194+W196)</f>
        <v>65.221000000000004</v>
      </c>
      <c r="X155" s="371">
        <f>HMB!$E$40*0.87*(1+X186+X188+X190+X192+X194+X196)</f>
        <v>65.221000000000004</v>
      </c>
      <c r="Y155" s="371">
        <f>HMB!$E$40*0.87*(1+Y186+Y188+Y190+Y192+Y194+Y196)</f>
        <v>65.221000000000004</v>
      </c>
      <c r="Z155" s="371">
        <f>HMB!$E$40*0.87*(1+Z186+Z188+Z190+Z192+Z194+Z196)</f>
        <v>65.221000000000004</v>
      </c>
      <c r="AA155" s="371">
        <f>HMB!$E$40*0.87*(1+AA186+AA188+AA190+AA192+AA194+AA196)</f>
        <v>65.221000000000004</v>
      </c>
      <c r="AB155" s="371">
        <f>HMB!$E$40*0.87*(1+AB186+AB188+AB190+AB192+AB194+AB196)</f>
        <v>130.44200000000001</v>
      </c>
      <c r="AC155" s="371">
        <f>HMB!$E$40*0.87*(1+AC186+AC188+AC190+AC192+AC194+AC196)</f>
        <v>130.44200000000001</v>
      </c>
      <c r="AD155" s="371">
        <f>HMB!$E$40*0.87*(1+AD186+AD188+AD190+AD192+AD194+AD196)</f>
        <v>130.44200000000001</v>
      </c>
      <c r="AE155" s="371">
        <f>HMB!$E$40*0.87*(1+AE186+AE188+AE190+AE192+AE194+AE196)</f>
        <v>130.44200000000001</v>
      </c>
      <c r="AF155" s="371">
        <f>HMB!$E$40*0.87*(1+AF186+AF188+AF190+AF192+AF194+AF196)</f>
        <v>130.44200000000001</v>
      </c>
      <c r="AG155" s="371">
        <f>HMB!$E$40*0.87*(1+AG186+AG188+AG190+AG192+AG194+AG196)</f>
        <v>195.66300000000001</v>
      </c>
      <c r="AH155" s="371">
        <f>HMB!$E$40*0.87*(1+AH186+AH188+AH190+AH192+AH194+AH196)</f>
        <v>195.66300000000001</v>
      </c>
      <c r="AI155" s="371">
        <f>HMB!$E$40*0.87*(1+AI186+AI188+AI190+AI192+AI194+AI196)</f>
        <v>195.66300000000001</v>
      </c>
      <c r="AJ155" s="371">
        <f>HMB!$E$40*0.87*(1+AJ186+AJ188+AJ190+AJ192+AJ194+AJ196)</f>
        <v>195.66300000000001</v>
      </c>
      <c r="AK155" s="371">
        <f>HMB!$E$40*0.87*(1+AK186+AK188+AK190+AK192+AK194+AK196)</f>
        <v>195.66300000000001</v>
      </c>
      <c r="AL155" s="371">
        <f>HMB!$E$40*0.87*(1+AL186+AL188+AL190+AL192+AL194+AL196)</f>
        <v>195.66300000000001</v>
      </c>
      <c r="AM155" s="371">
        <f>HMB!$E$40*0.87*(1+AM186+AM188+AM190+AM192+AM194+AM196)</f>
        <v>260.88400000000001</v>
      </c>
      <c r="AN155" s="371">
        <f>HMB!$E$40*0.87*(1+AN186+AN188+AN190+AN192+AN194+AN196)</f>
        <v>260.88400000000001</v>
      </c>
      <c r="AO155" s="371">
        <f>HMB!$E$40*0.87*(1+AO186+AO188+AO190+AO192+AO194+AO196)</f>
        <v>260.88400000000001</v>
      </c>
      <c r="AP155" s="371">
        <f>HMB!$E$40*0.87*(1+AP186+AP188+AP190+AP192+AP194+AP196)</f>
        <v>260.88400000000001</v>
      </c>
      <c r="AQ155" s="371">
        <f>HMB!$E$40*0.87*(1+AQ186+AQ188+AQ190+AQ192+AQ194+AQ196)</f>
        <v>260.88400000000001</v>
      </c>
      <c r="AR155" s="371">
        <f>HMB!$E$40*0.87*(1+AR186+AR188+AR190+AR192+AR194+AR196)</f>
        <v>260.88400000000001</v>
      </c>
      <c r="AS155" s="371">
        <f>HMB!$E$40*0.87*(1+AS186+AS188+AS190+AS192+AS194+AS196)</f>
        <v>521.76800000000003</v>
      </c>
      <c r="AT155" s="371">
        <f>HMB!$E$40*0.87*(1+AT186+AT188+AT190+AT192+AT194+AT196)</f>
        <v>391.32600000000002</v>
      </c>
      <c r="AU155" s="371">
        <f>HMB!$E$40*0.87*(1+AU186+AU188+AU190+AU192+AU194+AU196)</f>
        <v>391.32600000000002</v>
      </c>
      <c r="AV155" s="371">
        <f>HMB!$E$40*0.87*(1+AV186+AV188+AV190+AV192+AV194+AV196)</f>
        <v>391.32600000000002</v>
      </c>
      <c r="AW155" s="371">
        <f>HMB!$E$40*0.87*(1+AW186+AW188+AW190+AW192+AW194+AW196)</f>
        <v>391.32600000000002</v>
      </c>
      <c r="AX155" s="371">
        <f>HMB!$E$40*0.87*(1+AX186+AX188+AX190+AX192+AX194+AX196)</f>
        <v>391.32600000000002</v>
      </c>
      <c r="AY155" s="371">
        <f>HMB!$E$40*0.87*(1+AY186+AY188+AY190+AY192+AY194+AY196)</f>
        <v>652.21</v>
      </c>
      <c r="AZ155" s="371">
        <f>HMB!$E$40*0.87*(1+AZ186+AZ188+AZ190+AZ192+AZ194+AZ196)</f>
        <v>717.43100000000004</v>
      </c>
      <c r="BA155" s="371">
        <f>HMB!$E$40*0.87*(1+BA186+BA188+BA190+BA192+BA194+BA196)</f>
        <v>717.43100000000004</v>
      </c>
      <c r="BB155" s="371">
        <f>HMB!$E$40*0.87*(1+BB186+BB188+BB190+BB192+BB194+BB196)</f>
        <v>1108.7570000000001</v>
      </c>
      <c r="BC155" s="371">
        <f>HMB!$E$40*0.87*(1+BC186+BC188+BC190+BC192+BC194+BC196)</f>
        <v>913.09400000000005</v>
      </c>
      <c r="BD155" s="371">
        <f>HMB!$E$40*0.87*(1+BD186+BD188+BD190+BD192+BD194+BD196)</f>
        <v>913.09400000000005</v>
      </c>
      <c r="BE155" s="371">
        <f>HMB!$E$40*0.87*(1+BE186+BE188+BE190+BE192+BE194+BE196)</f>
        <v>1434.8620000000001</v>
      </c>
      <c r="BF155" s="371">
        <f>HMB!$E$40*0.87*(1+BF186+BF188+BF190+BF192+BF194+BF196)</f>
        <v>1434.8620000000001</v>
      </c>
      <c r="BG155" s="371">
        <f>HMB!$E$40*0.87*(1+BG186+BG188+BG190+BG192+BG194+BG196)</f>
        <v>1434.8620000000001</v>
      </c>
      <c r="BH155" s="371">
        <f>HMB!$E$40*0.87*(1+BH186+BH188+BH190+BH192+BH194+BH196)</f>
        <v>1956.63</v>
      </c>
      <c r="BI155" s="371">
        <f>HMB!$E$40*0.87*(1+BI186+BI188+BI190+BI192+BI194+BI196)</f>
        <v>1956.63</v>
      </c>
      <c r="BJ155" s="371">
        <f>HMB!$E$40*0.87*(1+BJ186+BJ188+BJ190+BJ192+BJ194+BJ196)</f>
        <v>1956.63</v>
      </c>
      <c r="BK155" s="371">
        <f>HMB!$E$40*0.87*(1+BK186+BK188+BK190+BK192+BK194+BK196)</f>
        <v>1956.63</v>
      </c>
      <c r="BL155" s="371">
        <f>HMB!$E$40*0.87*(1+BL186+BL188+BL190+BL192+BL194+BL196)</f>
        <v>2087.0720000000001</v>
      </c>
      <c r="BM155" s="371">
        <f>HMB!$E$40*0.87*(1+BM186+BM188+BM190+BM192+BM194+BM196)</f>
        <v>2087.0720000000001</v>
      </c>
      <c r="BN155" s="371">
        <f>HMB!$E$40*0.87*(1+BN186+BN188+BN190+BN192+BN194+BN196)</f>
        <v>2869.7240000000002</v>
      </c>
      <c r="BO155" s="371">
        <f>HMB!$E$40*0.87*(1+BO186+BO188+BO190+BO192+BO194+BO196)</f>
        <v>2478.3980000000001</v>
      </c>
      <c r="BP155" s="371">
        <f>HMB!$E$40*0.87*(1+BP186+BP188+BP190+BP192+BP194+BP196)</f>
        <v>2478.3980000000001</v>
      </c>
      <c r="BQ155" s="371">
        <f>HMB!$E$40*0.87*(1+BQ186+BQ188+BQ190+BQ192+BQ194+BQ196)</f>
        <v>3521.9340000000002</v>
      </c>
      <c r="BR155" s="371">
        <f>HMB!$E$40*0.87*(1+BR186+BR188+BR190+BR192+BR194+BR196)</f>
        <v>3521.9340000000002</v>
      </c>
      <c r="BS155" s="371">
        <f>HMB!$E$40*0.87*(1+BS186+BS188+BS190+BS192+BS194+BS196)</f>
        <v>3521.9340000000002</v>
      </c>
      <c r="BT155" s="371">
        <f>HMB!$E$40*0.87*(1+BT186+BT188+BT190+BT192+BT194+BT196)</f>
        <v>4565.47</v>
      </c>
      <c r="BU155" s="371">
        <f>HMB!$E$40*0.87*(1+BU186+BU188+BU190+BU192+BU194+BU196)</f>
        <v>4565.47</v>
      </c>
      <c r="BV155" s="371">
        <f>HMB!$E$40*0.87*(1+BV186+BV188+BV190+BV192+BV194+BV196)</f>
        <v>4565.47</v>
      </c>
      <c r="BW155" s="371">
        <f>HMB!$E$40*0.87*(1+BW186+BW188+BW190+BW192+BW194+BW196)</f>
        <v>4565.47</v>
      </c>
      <c r="BX155" s="371">
        <f>HMB!$E$40*0.87*(1+BX186+BX188+BX190+BX192+BX194+BX196)</f>
        <v>4761.1329999999998</v>
      </c>
      <c r="BY155" s="371">
        <f>HMB!$E$40*0.87*(1+BY186+BY188+BY190+BY192+BY194+BY196)</f>
        <v>4761.1329999999998</v>
      </c>
      <c r="BZ155" s="371">
        <f>HMB!$E$40*0.87*(1+BZ186+BZ188+BZ190+BZ192+BZ194+BZ196)</f>
        <v>5935.1110000000008</v>
      </c>
      <c r="CA155" s="371">
        <f>HMB!$E$40*0.87*(1+CA186+CA188+CA190+CA192+CA194+CA196)</f>
        <v>5348.1220000000003</v>
      </c>
      <c r="CB155" s="371">
        <f>HMB!$E$40*0.87*(1+CB186+CB188+CB190+CB192+CB194+CB196)</f>
        <v>5348.1220000000003</v>
      </c>
      <c r="CC155" s="371">
        <f>HMB!$E$40*0.87*(1+CC186+CC188+CC190+CC192+CC194+CC196)</f>
        <v>6913.4260000000004</v>
      </c>
      <c r="CD155" s="371">
        <f>HMB!$E$40*0.87*(1+CD186+CD188+CD190+CD192+CD194+CD196)</f>
        <v>6913.4260000000004</v>
      </c>
      <c r="CE155" s="371">
        <f>HMB!$E$40*0.87*(1+CE186+CE188+CE190+CE192+CE194+CE196)</f>
        <v>6913.4260000000004</v>
      </c>
      <c r="CF155" s="371">
        <f>HMB!$E$40*0.87*(1+CF186+CF188+CF190+CF192+CF194+CF196)</f>
        <v>8478.73</v>
      </c>
      <c r="CG155" s="371">
        <f>HMB!$E$40*0.87*(1+CG186+CG188+CG190+CG192+CG194+CG196)</f>
        <v>8478.73</v>
      </c>
      <c r="CH155" s="371">
        <f>HMB!$E$40*0.87*(1+CH186+CH188+CH190+CH192+CH194+CH196)</f>
        <v>8478.73</v>
      </c>
      <c r="CI155" s="371">
        <f>HMB!$E$40*0.87*(1+CI186+CI188+CI190+CI192+CI194+CI196)</f>
        <v>8478.73</v>
      </c>
      <c r="CJ155" s="371">
        <f>HMB!$E$40*0.87*(1+CJ186+CJ188+CJ190+CJ192+CJ194+CJ196)</f>
        <v>8739.6140000000014</v>
      </c>
      <c r="CK155" s="371">
        <f>HMB!$E$40*0.87*(1+CK186+CK188+CK190+CK192+CK194+CK196)</f>
        <v>8739.6140000000014</v>
      </c>
      <c r="CL155" s="371">
        <f>HMB!$E$40*0.87*(1+CL186+CL188+CL190+CL192+CL194+CL196)</f>
        <v>10304.918000000001</v>
      </c>
      <c r="CM155" s="371">
        <f>HMB!$E$40*0.87*(1+CM186+CM188+CM190+CM192+CM194+CM196)</f>
        <v>9522.2659999999996</v>
      </c>
      <c r="CN155" s="371">
        <f>HMB!$E$40*0.87*(1+CN186+CN188+CN190+CN192+CN194+CN196)</f>
        <v>9522.2659999999996</v>
      </c>
      <c r="CO155" s="371">
        <f>HMB!$E$40*0.87*(1+CO186+CO188+CO190+CO192+CO194+CO196)</f>
        <v>11609.338</v>
      </c>
      <c r="CP155" s="371">
        <f>HMB!$E$40*0.87*(1+CP186+CP188+CP190+CP192+CP194+CP196)</f>
        <v>11609.338</v>
      </c>
      <c r="CQ155" s="371">
        <f>HMB!$E$40*0.87*(1+CQ186+CQ188+CQ190+CQ192+CQ194+CQ196)</f>
        <v>11609.338</v>
      </c>
      <c r="CR155" s="371">
        <f>HMB!$E$40*0.87*(1+CR186+CR188+CR190+CR192+CR194+CR196)</f>
        <v>13696.41</v>
      </c>
      <c r="CS155" s="371">
        <f>HMB!$E$40*0.87*(1+CS186+CS188+CS190+CS192+CS194+CS196)</f>
        <v>13696.41</v>
      </c>
      <c r="CT155" s="371">
        <f>HMB!$E$40*0.87*(1+CT186+CT188+CT190+CT192+CT194+CT196)</f>
        <v>13696.41</v>
      </c>
      <c r="CU155" s="371">
        <f>HMB!$E$40*0.87*(1+CU186+CU188+CU190+CU192+CU194+CU196)</f>
        <v>13696.41</v>
      </c>
    </row>
    <row r="156" spans="1:100" ht="15.75" customHeight="1" outlineLevel="2">
      <c r="A156" s="347"/>
      <c r="B156" s="28"/>
      <c r="C156" s="348" t="s">
        <v>95</v>
      </c>
      <c r="D156" s="53"/>
      <c r="E156" s="53"/>
      <c r="F156" s="53">
        <v>5000</v>
      </c>
      <c r="G156" s="53">
        <v>5000</v>
      </c>
      <c r="H156" s="53">
        <v>5000</v>
      </c>
      <c r="I156" s="53">
        <v>5000</v>
      </c>
      <c r="J156" s="53">
        <v>5000</v>
      </c>
      <c r="K156" s="53">
        <v>5000</v>
      </c>
      <c r="L156" s="53">
        <v>5000</v>
      </c>
      <c r="M156" s="53">
        <v>5000</v>
      </c>
      <c r="N156" s="53">
        <v>5000</v>
      </c>
      <c r="O156" s="53">
        <v>5000</v>
      </c>
      <c r="P156" s="53">
        <v>5000</v>
      </c>
      <c r="Q156" s="53">
        <v>5000</v>
      </c>
      <c r="R156" s="53">
        <v>5000</v>
      </c>
      <c r="S156" s="53">
        <v>5000</v>
      </c>
      <c r="T156" s="53">
        <v>5000</v>
      </c>
      <c r="U156" s="53">
        <v>5000</v>
      </c>
      <c r="V156" s="53">
        <v>5000</v>
      </c>
      <c r="W156" s="53">
        <v>5000</v>
      </c>
      <c r="X156" s="53">
        <v>5000</v>
      </c>
      <c r="Y156" s="53">
        <v>5000</v>
      </c>
      <c r="Z156" s="53">
        <v>5000</v>
      </c>
      <c r="AA156" s="53">
        <v>5000</v>
      </c>
      <c r="AB156" s="53">
        <v>5000</v>
      </c>
      <c r="AC156" s="53">
        <v>5000</v>
      </c>
      <c r="AD156" s="53">
        <v>5000</v>
      </c>
      <c r="AE156" s="53">
        <v>5000</v>
      </c>
      <c r="AF156" s="53">
        <v>5000</v>
      </c>
      <c r="AG156" s="53">
        <v>5000</v>
      </c>
      <c r="AH156" s="53">
        <v>5000</v>
      </c>
      <c r="AI156" s="53">
        <v>5000</v>
      </c>
      <c r="AJ156" s="53">
        <v>5000</v>
      </c>
      <c r="AK156" s="53">
        <v>5000</v>
      </c>
      <c r="AL156" s="53">
        <v>5000</v>
      </c>
      <c r="AM156" s="53">
        <v>5000</v>
      </c>
      <c r="AN156" s="53">
        <v>5000</v>
      </c>
      <c r="AO156" s="53">
        <v>5000</v>
      </c>
      <c r="AP156" s="53">
        <v>5000</v>
      </c>
      <c r="AQ156" s="53">
        <v>5000</v>
      </c>
      <c r="AR156" s="53">
        <v>5000</v>
      </c>
      <c r="AS156" s="53">
        <v>5000</v>
      </c>
      <c r="AT156" s="53">
        <v>5000</v>
      </c>
      <c r="AU156" s="53">
        <v>5000</v>
      </c>
      <c r="AV156" s="53">
        <v>5000</v>
      </c>
      <c r="AW156" s="53">
        <v>5000</v>
      </c>
      <c r="AX156" s="53">
        <v>5000</v>
      </c>
      <c r="AY156" s="53">
        <v>5000</v>
      </c>
      <c r="AZ156" s="53">
        <v>5000</v>
      </c>
      <c r="BA156" s="53">
        <v>5000</v>
      </c>
      <c r="BB156" s="53">
        <v>5000</v>
      </c>
      <c r="BC156" s="53">
        <v>5000</v>
      </c>
      <c r="BD156" s="53">
        <v>5000</v>
      </c>
      <c r="BE156" s="53">
        <v>5000</v>
      </c>
      <c r="BF156" s="53">
        <v>5000</v>
      </c>
      <c r="BG156" s="53">
        <v>5000</v>
      </c>
      <c r="BH156" s="53">
        <v>5000</v>
      </c>
      <c r="BI156" s="53">
        <v>5000</v>
      </c>
      <c r="BJ156" s="53">
        <v>5000</v>
      </c>
      <c r="BK156" s="53">
        <v>5000</v>
      </c>
      <c r="BL156" s="53">
        <v>5000</v>
      </c>
      <c r="BM156" s="53">
        <v>5000</v>
      </c>
      <c r="BN156" s="53">
        <v>5000</v>
      </c>
      <c r="BO156" s="53">
        <v>5000</v>
      </c>
      <c r="BP156" s="53">
        <v>5000</v>
      </c>
      <c r="BQ156" s="53">
        <v>5000</v>
      </c>
      <c r="BR156" s="53">
        <v>5000</v>
      </c>
      <c r="BS156" s="53">
        <v>5000</v>
      </c>
      <c r="BT156" s="53">
        <v>5000</v>
      </c>
      <c r="BU156" s="53">
        <v>5000</v>
      </c>
      <c r="BV156" s="53">
        <v>5000</v>
      </c>
      <c r="BW156" s="53">
        <v>5000</v>
      </c>
      <c r="BX156" s="53">
        <v>5000</v>
      </c>
      <c r="BY156" s="53">
        <v>5000</v>
      </c>
      <c r="BZ156" s="53">
        <v>5000</v>
      </c>
      <c r="CA156" s="53">
        <v>5000</v>
      </c>
      <c r="CB156" s="53">
        <v>5000</v>
      </c>
      <c r="CC156" s="53">
        <v>5000</v>
      </c>
      <c r="CD156" s="53">
        <v>5000</v>
      </c>
      <c r="CE156" s="53">
        <v>5000</v>
      </c>
      <c r="CF156" s="53">
        <v>5000</v>
      </c>
      <c r="CG156" s="53">
        <v>5000</v>
      </c>
      <c r="CH156" s="53">
        <v>5000</v>
      </c>
      <c r="CI156" s="53">
        <v>5000</v>
      </c>
      <c r="CJ156" s="53">
        <v>5000</v>
      </c>
      <c r="CK156" s="53">
        <v>5000</v>
      </c>
      <c r="CL156" s="53">
        <v>5000</v>
      </c>
      <c r="CM156" s="53">
        <v>5000</v>
      </c>
      <c r="CN156" s="53">
        <v>5000</v>
      </c>
      <c r="CO156" s="53">
        <v>5000</v>
      </c>
      <c r="CP156" s="53">
        <v>5000</v>
      </c>
      <c r="CQ156" s="53">
        <v>5000</v>
      </c>
      <c r="CR156" s="53">
        <v>5000</v>
      </c>
      <c r="CS156" s="53">
        <v>5000</v>
      </c>
      <c r="CT156" s="53">
        <v>5000</v>
      </c>
      <c r="CU156" s="53">
        <v>5000</v>
      </c>
    </row>
    <row r="157" spans="1:100" ht="15.75" customHeight="1" outlineLevel="2">
      <c r="A157" s="347"/>
      <c r="B157" s="28"/>
      <c r="C157" s="347" t="s">
        <v>96</v>
      </c>
      <c r="D157" s="53"/>
      <c r="E157" s="53"/>
      <c r="F157" s="53">
        <f t="shared" ref="F157:BC157" si="97">80*(1+F186+F188+F190+F192+F194+F196)</f>
        <v>80</v>
      </c>
      <c r="G157" s="53">
        <f t="shared" si="97"/>
        <v>80</v>
      </c>
      <c r="H157" s="53">
        <f t="shared" si="97"/>
        <v>80</v>
      </c>
      <c r="I157" s="53">
        <f t="shared" si="97"/>
        <v>80</v>
      </c>
      <c r="J157" s="53">
        <f t="shared" si="97"/>
        <v>80</v>
      </c>
      <c r="K157" s="53">
        <f t="shared" si="97"/>
        <v>80</v>
      </c>
      <c r="L157" s="53">
        <f t="shared" si="97"/>
        <v>80</v>
      </c>
      <c r="M157" s="53">
        <f t="shared" si="97"/>
        <v>80</v>
      </c>
      <c r="N157" s="53">
        <f t="shared" si="97"/>
        <v>80</v>
      </c>
      <c r="O157" s="53">
        <f t="shared" si="97"/>
        <v>80</v>
      </c>
      <c r="P157" s="53">
        <f t="shared" si="97"/>
        <v>80</v>
      </c>
      <c r="Q157" s="53">
        <f t="shared" si="97"/>
        <v>80</v>
      </c>
      <c r="R157" s="53">
        <f t="shared" si="97"/>
        <v>80</v>
      </c>
      <c r="S157" s="53">
        <f t="shared" si="97"/>
        <v>80</v>
      </c>
      <c r="T157" s="53">
        <f t="shared" si="97"/>
        <v>80</v>
      </c>
      <c r="U157" s="53">
        <f t="shared" si="97"/>
        <v>80</v>
      </c>
      <c r="V157" s="53">
        <f t="shared" si="97"/>
        <v>80</v>
      </c>
      <c r="W157" s="53">
        <f t="shared" si="97"/>
        <v>80</v>
      </c>
      <c r="X157" s="53">
        <f t="shared" si="97"/>
        <v>80</v>
      </c>
      <c r="Y157" s="53">
        <f t="shared" si="97"/>
        <v>80</v>
      </c>
      <c r="Z157" s="53">
        <f t="shared" si="97"/>
        <v>80</v>
      </c>
      <c r="AA157" s="53">
        <f t="shared" si="97"/>
        <v>80</v>
      </c>
      <c r="AB157" s="53">
        <f t="shared" si="97"/>
        <v>160</v>
      </c>
      <c r="AC157" s="53">
        <f t="shared" si="97"/>
        <v>160</v>
      </c>
      <c r="AD157" s="53">
        <f t="shared" si="97"/>
        <v>160</v>
      </c>
      <c r="AE157" s="53">
        <f t="shared" si="97"/>
        <v>160</v>
      </c>
      <c r="AF157" s="53">
        <f t="shared" si="97"/>
        <v>160</v>
      </c>
      <c r="AG157" s="53">
        <f t="shared" si="97"/>
        <v>240</v>
      </c>
      <c r="AH157" s="53">
        <f t="shared" si="97"/>
        <v>240</v>
      </c>
      <c r="AI157" s="53">
        <f t="shared" si="97"/>
        <v>240</v>
      </c>
      <c r="AJ157" s="53">
        <f t="shared" si="97"/>
        <v>240</v>
      </c>
      <c r="AK157" s="53">
        <f t="shared" si="97"/>
        <v>240</v>
      </c>
      <c r="AL157" s="53">
        <f t="shared" si="97"/>
        <v>240</v>
      </c>
      <c r="AM157" s="53">
        <f t="shared" si="97"/>
        <v>320</v>
      </c>
      <c r="AN157" s="53">
        <f t="shared" si="97"/>
        <v>320</v>
      </c>
      <c r="AO157" s="53">
        <f t="shared" si="97"/>
        <v>320</v>
      </c>
      <c r="AP157" s="53">
        <f t="shared" si="97"/>
        <v>320</v>
      </c>
      <c r="AQ157" s="53">
        <f t="shared" si="97"/>
        <v>320</v>
      </c>
      <c r="AR157" s="53">
        <f t="shared" si="97"/>
        <v>320</v>
      </c>
      <c r="AS157" s="53">
        <f t="shared" si="97"/>
        <v>640</v>
      </c>
      <c r="AT157" s="53">
        <f t="shared" si="97"/>
        <v>480</v>
      </c>
      <c r="AU157" s="53">
        <f t="shared" si="97"/>
        <v>480</v>
      </c>
      <c r="AV157" s="53">
        <f t="shared" si="97"/>
        <v>480</v>
      </c>
      <c r="AW157" s="53">
        <f t="shared" si="97"/>
        <v>480</v>
      </c>
      <c r="AX157" s="53">
        <f t="shared" si="97"/>
        <v>480</v>
      </c>
      <c r="AY157" s="53">
        <f t="shared" si="97"/>
        <v>800</v>
      </c>
      <c r="AZ157" s="53">
        <f t="shared" si="97"/>
        <v>880</v>
      </c>
      <c r="BA157" s="53">
        <f t="shared" si="97"/>
        <v>880</v>
      </c>
      <c r="BB157" s="53">
        <f t="shared" si="97"/>
        <v>1360</v>
      </c>
      <c r="BC157" s="53">
        <f t="shared" si="97"/>
        <v>1120</v>
      </c>
      <c r="BD157" s="53">
        <f>80*(1+BD186+BD188+BD190+BD192+BD194+BD196)</f>
        <v>1120</v>
      </c>
      <c r="BE157" s="53">
        <f t="shared" ref="BE157:CU157" si="98">80*(1+BE186+BE188+BE190+BE192+BE194+BE196)</f>
        <v>1760</v>
      </c>
      <c r="BF157" s="53">
        <f t="shared" si="98"/>
        <v>1760</v>
      </c>
      <c r="BG157" s="53">
        <f t="shared" si="98"/>
        <v>1760</v>
      </c>
      <c r="BH157" s="53">
        <f t="shared" si="98"/>
        <v>2400</v>
      </c>
      <c r="BI157" s="53">
        <f t="shared" si="98"/>
        <v>2400</v>
      </c>
      <c r="BJ157" s="53">
        <f t="shared" si="98"/>
        <v>2400</v>
      </c>
      <c r="BK157" s="53">
        <f t="shared" si="98"/>
        <v>2400</v>
      </c>
      <c r="BL157" s="53">
        <f t="shared" si="98"/>
        <v>2560</v>
      </c>
      <c r="BM157" s="53">
        <f t="shared" si="98"/>
        <v>2560</v>
      </c>
      <c r="BN157" s="53">
        <f t="shared" si="98"/>
        <v>3520</v>
      </c>
      <c r="BO157" s="53">
        <f t="shared" si="98"/>
        <v>3040</v>
      </c>
      <c r="BP157" s="53">
        <f t="shared" si="98"/>
        <v>3040</v>
      </c>
      <c r="BQ157" s="53">
        <f t="shared" si="98"/>
        <v>4320</v>
      </c>
      <c r="BR157" s="53">
        <f t="shared" si="98"/>
        <v>4320</v>
      </c>
      <c r="BS157" s="53">
        <f t="shared" si="98"/>
        <v>4320</v>
      </c>
      <c r="BT157" s="53">
        <f t="shared" si="98"/>
        <v>5600</v>
      </c>
      <c r="BU157" s="53">
        <f t="shared" si="98"/>
        <v>5600</v>
      </c>
      <c r="BV157" s="53">
        <f t="shared" si="98"/>
        <v>5600</v>
      </c>
      <c r="BW157" s="53">
        <f t="shared" si="98"/>
        <v>5600</v>
      </c>
      <c r="BX157" s="53">
        <f t="shared" si="98"/>
        <v>5840</v>
      </c>
      <c r="BY157" s="53">
        <f t="shared" si="98"/>
        <v>5840</v>
      </c>
      <c r="BZ157" s="53">
        <f t="shared" si="98"/>
        <v>7280</v>
      </c>
      <c r="CA157" s="53">
        <f t="shared" si="98"/>
        <v>6560</v>
      </c>
      <c r="CB157" s="53">
        <f t="shared" si="98"/>
        <v>6560</v>
      </c>
      <c r="CC157" s="53">
        <f t="shared" si="98"/>
        <v>8480</v>
      </c>
      <c r="CD157" s="53">
        <f t="shared" si="98"/>
        <v>8480</v>
      </c>
      <c r="CE157" s="53">
        <f t="shared" si="98"/>
        <v>8480</v>
      </c>
      <c r="CF157" s="53">
        <f t="shared" si="98"/>
        <v>10400</v>
      </c>
      <c r="CG157" s="53">
        <f t="shared" si="98"/>
        <v>10400</v>
      </c>
      <c r="CH157" s="53">
        <f t="shared" si="98"/>
        <v>10400</v>
      </c>
      <c r="CI157" s="53">
        <f t="shared" si="98"/>
        <v>10400</v>
      </c>
      <c r="CJ157" s="53">
        <f t="shared" si="98"/>
        <v>10720</v>
      </c>
      <c r="CK157" s="53">
        <f t="shared" si="98"/>
        <v>10720</v>
      </c>
      <c r="CL157" s="53">
        <f t="shared" si="98"/>
        <v>12640</v>
      </c>
      <c r="CM157" s="53">
        <f t="shared" si="98"/>
        <v>11680</v>
      </c>
      <c r="CN157" s="53">
        <f t="shared" si="98"/>
        <v>11680</v>
      </c>
      <c r="CO157" s="53">
        <f t="shared" si="98"/>
        <v>14240</v>
      </c>
      <c r="CP157" s="53">
        <f t="shared" si="98"/>
        <v>14240</v>
      </c>
      <c r="CQ157" s="53">
        <f t="shared" si="98"/>
        <v>14240</v>
      </c>
      <c r="CR157" s="53">
        <f t="shared" si="98"/>
        <v>16800</v>
      </c>
      <c r="CS157" s="53">
        <f t="shared" si="98"/>
        <v>16800</v>
      </c>
      <c r="CT157" s="53">
        <f t="shared" si="98"/>
        <v>16800</v>
      </c>
      <c r="CU157" s="53">
        <f t="shared" si="98"/>
        <v>16800</v>
      </c>
    </row>
    <row r="158" spans="1:100" s="265" customFormat="1" ht="15.75" customHeight="1" outlineLevel="2">
      <c r="A158" s="347"/>
      <c r="B158" s="28"/>
      <c r="C158" s="87" t="s">
        <v>49</v>
      </c>
      <c r="D158" s="53">
        <v>500</v>
      </c>
      <c r="E158" s="53">
        <v>500</v>
      </c>
      <c r="F158" s="53">
        <v>500</v>
      </c>
      <c r="G158" s="53">
        <v>500</v>
      </c>
      <c r="H158" s="53">
        <v>500</v>
      </c>
      <c r="I158" s="53">
        <v>500</v>
      </c>
      <c r="J158" s="53">
        <v>500</v>
      </c>
      <c r="K158" s="53">
        <v>500</v>
      </c>
      <c r="L158" s="53">
        <v>500</v>
      </c>
      <c r="M158" s="53">
        <v>500</v>
      </c>
      <c r="N158" s="53">
        <v>500</v>
      </c>
      <c r="O158" s="53">
        <v>500</v>
      </c>
      <c r="P158" s="53">
        <v>500</v>
      </c>
      <c r="Q158" s="53">
        <v>500</v>
      </c>
      <c r="R158" s="53">
        <v>500</v>
      </c>
      <c r="S158" s="53">
        <v>500</v>
      </c>
      <c r="T158" s="53">
        <v>500</v>
      </c>
      <c r="U158" s="53">
        <v>500</v>
      </c>
      <c r="V158" s="53">
        <v>500</v>
      </c>
      <c r="W158" s="53">
        <v>500</v>
      </c>
      <c r="X158" s="53">
        <v>500</v>
      </c>
      <c r="Y158" s="53">
        <v>500</v>
      </c>
      <c r="Z158" s="53">
        <v>500</v>
      </c>
      <c r="AA158" s="53">
        <v>500</v>
      </c>
      <c r="AB158" s="53">
        <v>500</v>
      </c>
      <c r="AC158" s="53">
        <v>500</v>
      </c>
      <c r="AD158" s="53">
        <v>500</v>
      </c>
      <c r="AE158" s="53">
        <v>500</v>
      </c>
      <c r="AF158" s="53">
        <v>500</v>
      </c>
      <c r="AG158" s="53">
        <v>500</v>
      </c>
      <c r="AH158" s="53">
        <v>500</v>
      </c>
      <c r="AI158" s="53">
        <v>500</v>
      </c>
      <c r="AJ158" s="53">
        <v>500</v>
      </c>
      <c r="AK158" s="53">
        <v>500</v>
      </c>
      <c r="AL158" s="53">
        <v>500</v>
      </c>
      <c r="AM158" s="53">
        <v>500</v>
      </c>
      <c r="AN158" s="53">
        <v>500</v>
      </c>
      <c r="AO158" s="53">
        <v>500</v>
      </c>
      <c r="AP158" s="53">
        <v>500</v>
      </c>
      <c r="AQ158" s="53">
        <v>500</v>
      </c>
      <c r="AR158" s="53">
        <v>500</v>
      </c>
      <c r="AS158" s="53">
        <v>500</v>
      </c>
      <c r="AT158" s="53">
        <v>500</v>
      </c>
      <c r="AU158" s="53">
        <v>500</v>
      </c>
      <c r="AV158" s="53">
        <v>500</v>
      </c>
      <c r="AW158" s="53">
        <v>500</v>
      </c>
      <c r="AX158" s="53">
        <v>500</v>
      </c>
      <c r="AY158" s="53">
        <v>500</v>
      </c>
      <c r="AZ158" s="53">
        <v>500</v>
      </c>
      <c r="BA158" s="53">
        <v>500</v>
      </c>
      <c r="BB158" s="53">
        <v>500</v>
      </c>
      <c r="BC158" s="53">
        <v>82000</v>
      </c>
      <c r="BD158" s="53">
        <v>500</v>
      </c>
      <c r="BE158" s="53">
        <v>500</v>
      </c>
      <c r="BF158" s="53">
        <v>500</v>
      </c>
      <c r="BG158" s="53">
        <v>500</v>
      </c>
      <c r="BH158" s="53">
        <v>500</v>
      </c>
      <c r="BI158" s="53">
        <v>500</v>
      </c>
      <c r="BJ158" s="53">
        <v>500</v>
      </c>
      <c r="BK158" s="53">
        <v>500</v>
      </c>
      <c r="BL158" s="53">
        <v>500</v>
      </c>
      <c r="BM158" s="53">
        <v>4000</v>
      </c>
      <c r="BN158" s="53">
        <v>4000</v>
      </c>
      <c r="BO158" s="53">
        <v>4000</v>
      </c>
      <c r="BP158" s="53">
        <v>4000</v>
      </c>
      <c r="BQ158" s="53">
        <v>4000</v>
      </c>
      <c r="BR158" s="53">
        <v>4000</v>
      </c>
      <c r="BS158" s="53">
        <v>4000</v>
      </c>
      <c r="BT158" s="53">
        <v>4000</v>
      </c>
      <c r="BU158" s="53">
        <v>4000</v>
      </c>
      <c r="BV158" s="53">
        <v>4000</v>
      </c>
      <c r="BW158" s="53">
        <v>4000</v>
      </c>
      <c r="BX158" s="53">
        <v>4000</v>
      </c>
      <c r="BY158" s="53">
        <v>4000</v>
      </c>
      <c r="BZ158" s="53">
        <v>4000</v>
      </c>
      <c r="CA158" s="53">
        <v>4000</v>
      </c>
      <c r="CB158" s="53">
        <v>4000</v>
      </c>
      <c r="CC158" s="53">
        <v>4000</v>
      </c>
      <c r="CD158" s="53">
        <v>4000</v>
      </c>
      <c r="CE158" s="53">
        <v>4000</v>
      </c>
      <c r="CF158" s="53">
        <v>4000</v>
      </c>
      <c r="CG158" s="53">
        <v>4000</v>
      </c>
      <c r="CH158" s="53">
        <v>4000</v>
      </c>
      <c r="CI158" s="53">
        <v>4000</v>
      </c>
      <c r="CJ158" s="53">
        <v>4000</v>
      </c>
      <c r="CK158" s="53">
        <v>4000</v>
      </c>
      <c r="CL158" s="53">
        <v>4000</v>
      </c>
      <c r="CM158" s="53">
        <v>4000</v>
      </c>
      <c r="CN158" s="53">
        <v>4000</v>
      </c>
      <c r="CO158" s="53">
        <v>4000</v>
      </c>
      <c r="CP158" s="53">
        <v>4000</v>
      </c>
      <c r="CQ158" s="53">
        <v>4000</v>
      </c>
      <c r="CR158" s="53">
        <v>4000</v>
      </c>
      <c r="CS158" s="53">
        <v>4000</v>
      </c>
      <c r="CT158" s="53">
        <v>4000</v>
      </c>
      <c r="CU158" s="53">
        <v>4000</v>
      </c>
    </row>
    <row r="159" spans="1:100" ht="15.75" customHeight="1" outlineLevel="2">
      <c r="A159" s="347"/>
      <c r="B159" s="28"/>
      <c r="C159" s="347" t="s">
        <v>97</v>
      </c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>
        <v>300</v>
      </c>
      <c r="Z159" s="53">
        <v>300</v>
      </c>
      <c r="AA159" s="53">
        <v>300</v>
      </c>
      <c r="AB159" s="53">
        <v>300</v>
      </c>
      <c r="AC159" s="53">
        <v>300</v>
      </c>
      <c r="AD159" s="53">
        <v>300</v>
      </c>
      <c r="AE159" s="53">
        <v>300</v>
      </c>
      <c r="AF159" s="53">
        <v>300</v>
      </c>
      <c r="AG159" s="53">
        <v>300</v>
      </c>
      <c r="AH159" s="53">
        <v>300</v>
      </c>
      <c r="AI159" s="53">
        <v>300</v>
      </c>
      <c r="AJ159" s="53">
        <v>300</v>
      </c>
      <c r="AK159" s="53">
        <v>300</v>
      </c>
      <c r="AL159" s="53">
        <v>300</v>
      </c>
      <c r="AM159" s="53">
        <v>300</v>
      </c>
      <c r="AN159" s="53">
        <v>300</v>
      </c>
      <c r="AO159" s="53">
        <v>300</v>
      </c>
      <c r="AP159" s="53">
        <v>300</v>
      </c>
      <c r="AQ159" s="53">
        <v>300</v>
      </c>
      <c r="AR159" s="53">
        <v>300</v>
      </c>
      <c r="AS159" s="53">
        <v>300</v>
      </c>
      <c r="AT159" s="53">
        <v>300</v>
      </c>
      <c r="AU159" s="53">
        <v>300</v>
      </c>
      <c r="AV159" s="53">
        <v>300</v>
      </c>
      <c r="AW159" s="53">
        <v>300</v>
      </c>
      <c r="AX159" s="53">
        <v>300</v>
      </c>
      <c r="AY159" s="53">
        <v>1000</v>
      </c>
      <c r="AZ159" s="53">
        <v>1000</v>
      </c>
      <c r="BA159" s="53">
        <v>1000</v>
      </c>
      <c r="BB159" s="53">
        <v>1000</v>
      </c>
      <c r="BC159" s="53">
        <v>1000</v>
      </c>
      <c r="BD159" s="53">
        <v>1000</v>
      </c>
      <c r="BE159" s="53">
        <v>1000</v>
      </c>
      <c r="BF159" s="53">
        <v>1000</v>
      </c>
      <c r="BG159" s="53">
        <v>1000</v>
      </c>
      <c r="BH159" s="53">
        <v>1000</v>
      </c>
      <c r="BI159" s="53">
        <v>1000</v>
      </c>
      <c r="BJ159" s="53">
        <v>1000</v>
      </c>
      <c r="BK159" s="53">
        <v>1000</v>
      </c>
      <c r="BL159" s="53">
        <v>1000</v>
      </c>
      <c r="BM159" s="53">
        <v>1000</v>
      </c>
      <c r="BN159" s="53">
        <v>1000</v>
      </c>
      <c r="BO159" s="53">
        <v>1000</v>
      </c>
      <c r="BP159" s="53">
        <v>1000</v>
      </c>
      <c r="BQ159" s="53">
        <v>1000</v>
      </c>
      <c r="BR159" s="53">
        <v>1000</v>
      </c>
      <c r="BS159" s="53">
        <v>1000</v>
      </c>
      <c r="BT159" s="53">
        <v>1000</v>
      </c>
      <c r="BU159" s="53">
        <v>1000</v>
      </c>
      <c r="BV159" s="53">
        <v>1000</v>
      </c>
      <c r="BW159" s="53">
        <v>1000</v>
      </c>
      <c r="BX159" s="53">
        <v>1000</v>
      </c>
      <c r="BY159" s="53">
        <v>1000</v>
      </c>
      <c r="BZ159" s="53">
        <v>1000</v>
      </c>
      <c r="CA159" s="53">
        <v>1000</v>
      </c>
      <c r="CB159" s="53">
        <v>1000</v>
      </c>
      <c r="CC159" s="53">
        <v>1000</v>
      </c>
      <c r="CD159" s="53">
        <v>1000</v>
      </c>
      <c r="CE159" s="53">
        <v>1000</v>
      </c>
      <c r="CF159" s="53">
        <v>1000</v>
      </c>
      <c r="CG159" s="53">
        <v>1000</v>
      </c>
      <c r="CH159" s="53">
        <v>1000</v>
      </c>
      <c r="CI159" s="53">
        <v>1000</v>
      </c>
      <c r="CJ159" s="53">
        <v>1000</v>
      </c>
      <c r="CK159" s="53">
        <v>1000</v>
      </c>
      <c r="CL159" s="53">
        <v>1000</v>
      </c>
      <c r="CM159" s="53">
        <v>1000</v>
      </c>
      <c r="CN159" s="53">
        <v>1000</v>
      </c>
      <c r="CO159" s="53">
        <v>1000</v>
      </c>
      <c r="CP159" s="53">
        <v>1000</v>
      </c>
      <c r="CQ159" s="53">
        <v>1000</v>
      </c>
      <c r="CR159" s="53">
        <v>1000</v>
      </c>
      <c r="CS159" s="53">
        <v>1000</v>
      </c>
      <c r="CT159" s="53">
        <v>1000</v>
      </c>
      <c r="CU159" s="53">
        <v>1000</v>
      </c>
    </row>
    <row r="160" spans="1:100" ht="15.75" customHeight="1" outlineLevel="2">
      <c r="A160" s="347"/>
      <c r="B160" s="21"/>
      <c r="C160" s="347" t="s">
        <v>374</v>
      </c>
      <c r="D160" s="53">
        <v>2400</v>
      </c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>
        <v>1000</v>
      </c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>
        <v>1000</v>
      </c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>
        <v>1000</v>
      </c>
      <c r="AN160" s="53"/>
      <c r="AO160" s="53"/>
      <c r="AP160" s="53"/>
      <c r="AQ160" s="53">
        <v>2400</v>
      </c>
      <c r="AR160" s="53"/>
      <c r="AS160" s="53"/>
      <c r="AT160" s="53"/>
      <c r="AU160" s="53"/>
      <c r="AV160" s="53"/>
      <c r="AW160" s="53"/>
      <c r="AX160" s="53">
        <v>2400</v>
      </c>
      <c r="AY160" s="53"/>
      <c r="AZ160" s="53">
        <v>1000</v>
      </c>
      <c r="BA160" s="53">
        <v>3400</v>
      </c>
      <c r="BB160" s="53">
        <v>1000</v>
      </c>
      <c r="BC160" s="53">
        <v>1000</v>
      </c>
      <c r="BD160" s="53">
        <v>3400</v>
      </c>
      <c r="BE160" s="53">
        <v>1000</v>
      </c>
      <c r="BF160" s="53">
        <v>1000</v>
      </c>
      <c r="BG160" s="53">
        <v>3400</v>
      </c>
      <c r="BH160" s="53">
        <v>1000</v>
      </c>
      <c r="BI160" s="53">
        <v>1000</v>
      </c>
      <c r="BJ160" s="53">
        <v>1000</v>
      </c>
      <c r="BK160" s="53">
        <v>1000</v>
      </c>
      <c r="BL160" s="53">
        <v>1000</v>
      </c>
      <c r="BM160" s="53">
        <v>7000</v>
      </c>
      <c r="BN160" s="53">
        <v>1000</v>
      </c>
      <c r="BO160" s="53">
        <v>1000</v>
      </c>
      <c r="BP160" s="53">
        <v>7000</v>
      </c>
      <c r="BQ160" s="53">
        <v>1000</v>
      </c>
      <c r="BR160" s="53">
        <v>1000</v>
      </c>
      <c r="BS160" s="53">
        <v>7000</v>
      </c>
      <c r="BT160" s="53">
        <v>1000</v>
      </c>
      <c r="BU160" s="53">
        <v>1000</v>
      </c>
      <c r="BV160" s="53">
        <v>1000</v>
      </c>
      <c r="BW160" s="53">
        <v>1000</v>
      </c>
      <c r="BX160" s="53">
        <v>1000</v>
      </c>
      <c r="BY160" s="53">
        <v>9000</v>
      </c>
      <c r="BZ160" s="53">
        <v>1000</v>
      </c>
      <c r="CA160" s="53">
        <v>1000</v>
      </c>
      <c r="CB160" s="53">
        <v>9000</v>
      </c>
      <c r="CC160" s="53">
        <v>1000</v>
      </c>
      <c r="CD160" s="53">
        <v>1000</v>
      </c>
      <c r="CE160" s="53">
        <v>9000</v>
      </c>
      <c r="CF160" s="53">
        <v>1000</v>
      </c>
      <c r="CG160" s="53">
        <v>1000</v>
      </c>
      <c r="CH160" s="53">
        <v>1000</v>
      </c>
      <c r="CI160" s="53">
        <v>1000</v>
      </c>
      <c r="CJ160" s="53"/>
      <c r="CK160" s="53">
        <v>10000</v>
      </c>
      <c r="CL160" s="53"/>
      <c r="CM160" s="53"/>
      <c r="CN160" s="53">
        <v>10000</v>
      </c>
      <c r="CO160" s="53"/>
      <c r="CP160" s="53"/>
      <c r="CQ160" s="53">
        <v>10000</v>
      </c>
      <c r="CR160" s="53"/>
      <c r="CS160" s="53"/>
      <c r="CT160" s="53"/>
      <c r="CU160" s="53"/>
      <c r="CV160" s="3"/>
    </row>
    <row r="161" spans="1:100" ht="15.75" customHeight="1" outlineLevel="2">
      <c r="A161" s="347"/>
      <c r="B161" s="21"/>
      <c r="C161" s="347" t="s">
        <v>98</v>
      </c>
      <c r="D161" s="53">
        <v>100</v>
      </c>
      <c r="E161" s="53">
        <v>100</v>
      </c>
      <c r="F161" s="53">
        <v>100</v>
      </c>
      <c r="G161" s="53">
        <v>100</v>
      </c>
      <c r="H161" s="53">
        <v>100</v>
      </c>
      <c r="I161" s="53">
        <v>200</v>
      </c>
      <c r="J161" s="53">
        <v>200</v>
      </c>
      <c r="K161" s="53">
        <v>200</v>
      </c>
      <c r="L161" s="53">
        <v>200</v>
      </c>
      <c r="M161" s="53">
        <v>200</v>
      </c>
      <c r="N161" s="53">
        <v>200</v>
      </c>
      <c r="O161" s="53">
        <v>200</v>
      </c>
      <c r="P161" s="53">
        <v>200</v>
      </c>
      <c r="Q161" s="53">
        <v>200</v>
      </c>
      <c r="R161" s="53">
        <v>200</v>
      </c>
      <c r="S161" s="53">
        <v>200</v>
      </c>
      <c r="T161" s="53">
        <v>200</v>
      </c>
      <c r="U161" s="53">
        <v>200</v>
      </c>
      <c r="V161" s="53">
        <v>200</v>
      </c>
      <c r="W161" s="53">
        <v>200</v>
      </c>
      <c r="X161" s="53">
        <v>200</v>
      </c>
      <c r="Y161" s="53">
        <v>200</v>
      </c>
      <c r="Z161" s="53">
        <v>200</v>
      </c>
      <c r="AA161" s="53">
        <v>200</v>
      </c>
      <c r="AB161" s="53">
        <v>200</v>
      </c>
      <c r="AC161" s="53">
        <v>200</v>
      </c>
      <c r="AD161" s="53">
        <v>200</v>
      </c>
      <c r="AE161" s="53">
        <v>200</v>
      </c>
      <c r="AF161" s="53">
        <v>200</v>
      </c>
      <c r="AG161" s="53">
        <v>200</v>
      </c>
      <c r="AH161" s="53">
        <v>200</v>
      </c>
      <c r="AI161" s="53">
        <v>200</v>
      </c>
      <c r="AJ161" s="53">
        <v>200</v>
      </c>
      <c r="AK161" s="53">
        <v>200</v>
      </c>
      <c r="AL161" s="53">
        <v>200</v>
      </c>
      <c r="AM161" s="53">
        <v>200</v>
      </c>
      <c r="AN161" s="53">
        <v>200</v>
      </c>
      <c r="AO161" s="53">
        <v>200</v>
      </c>
      <c r="AP161" s="53">
        <v>200</v>
      </c>
      <c r="AQ161" s="53">
        <v>200</v>
      </c>
      <c r="AR161" s="53">
        <v>200</v>
      </c>
      <c r="AS161" s="53">
        <v>200</v>
      </c>
      <c r="AT161" s="53">
        <v>200</v>
      </c>
      <c r="AU161" s="53">
        <v>200</v>
      </c>
      <c r="AV161" s="53">
        <v>200</v>
      </c>
      <c r="AW161" s="53">
        <v>200</v>
      </c>
      <c r="AX161" s="53">
        <v>200</v>
      </c>
      <c r="AY161" s="53">
        <v>200</v>
      </c>
      <c r="AZ161" s="53">
        <v>300</v>
      </c>
      <c r="BA161" s="53">
        <v>300</v>
      </c>
      <c r="BB161" s="53">
        <v>300</v>
      </c>
      <c r="BC161" s="53">
        <v>300</v>
      </c>
      <c r="BD161" s="53">
        <v>300</v>
      </c>
      <c r="BE161" s="53">
        <v>300</v>
      </c>
      <c r="BF161" s="53">
        <v>300</v>
      </c>
      <c r="BG161" s="53">
        <v>300</v>
      </c>
      <c r="BH161" s="53">
        <v>300</v>
      </c>
      <c r="BI161" s="53">
        <v>300</v>
      </c>
      <c r="BJ161" s="53">
        <v>300</v>
      </c>
      <c r="BK161" s="53">
        <v>300</v>
      </c>
      <c r="BL161" s="53">
        <v>300</v>
      </c>
      <c r="BM161" s="53">
        <v>300</v>
      </c>
      <c r="BN161" s="53">
        <v>300</v>
      </c>
      <c r="BO161" s="53">
        <v>300</v>
      </c>
      <c r="BP161" s="53">
        <v>300</v>
      </c>
      <c r="BQ161" s="53">
        <v>300</v>
      </c>
      <c r="BR161" s="53">
        <v>300</v>
      </c>
      <c r="BS161" s="53">
        <v>300</v>
      </c>
      <c r="BT161" s="53">
        <v>300</v>
      </c>
      <c r="BU161" s="53">
        <v>300</v>
      </c>
      <c r="BV161" s="53">
        <v>300</v>
      </c>
      <c r="BW161" s="53">
        <v>300</v>
      </c>
      <c r="BX161" s="53">
        <v>300</v>
      </c>
      <c r="BY161" s="53">
        <v>300</v>
      </c>
      <c r="BZ161" s="53">
        <v>300</v>
      </c>
      <c r="CA161" s="53">
        <v>300</v>
      </c>
      <c r="CB161" s="53">
        <v>300</v>
      </c>
      <c r="CC161" s="53">
        <v>300</v>
      </c>
      <c r="CD161" s="53">
        <v>300</v>
      </c>
      <c r="CE161" s="53">
        <v>300</v>
      </c>
      <c r="CF161" s="53">
        <v>300</v>
      </c>
      <c r="CG161" s="53">
        <v>300</v>
      </c>
      <c r="CH161" s="53">
        <v>300</v>
      </c>
      <c r="CI161" s="53">
        <v>300</v>
      </c>
      <c r="CJ161" s="53">
        <v>300</v>
      </c>
      <c r="CK161" s="53">
        <v>300</v>
      </c>
      <c r="CL161" s="53">
        <v>300</v>
      </c>
      <c r="CM161" s="53">
        <v>300</v>
      </c>
      <c r="CN161" s="53">
        <v>300</v>
      </c>
      <c r="CO161" s="53">
        <v>300</v>
      </c>
      <c r="CP161" s="53">
        <v>300</v>
      </c>
      <c r="CQ161" s="53">
        <v>300</v>
      </c>
      <c r="CR161" s="53">
        <v>300</v>
      </c>
      <c r="CS161" s="53">
        <v>300</v>
      </c>
      <c r="CT161" s="53">
        <v>300</v>
      </c>
      <c r="CU161" s="53">
        <v>300</v>
      </c>
      <c r="CV161" s="3"/>
    </row>
    <row r="162" spans="1:100" s="265" customFormat="1" ht="15.75" customHeight="1" outlineLevel="2">
      <c r="A162" s="347"/>
      <c r="B162" s="21"/>
      <c r="C162" s="347" t="s">
        <v>388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>
        <v>50000</v>
      </c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>
        <v>100000</v>
      </c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>
        <v>100000</v>
      </c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344"/>
    </row>
    <row r="163" spans="1:100" ht="15.75" customHeight="1" outlineLevel="1">
      <c r="A163" s="8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54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</row>
    <row r="164" spans="1:100" ht="15.75" customHeight="1" outlineLevel="1">
      <c r="A164" s="84"/>
      <c r="B164" s="30">
        <v>2</v>
      </c>
      <c r="C164" s="31" t="s">
        <v>99</v>
      </c>
      <c r="D164" s="355">
        <f>D171*D167+D169*D171+D172*D174</f>
        <v>0</v>
      </c>
      <c r="E164" s="355">
        <f t="shared" ref="E164:O164" si="99">E171*E167+E169*E171+E172*E174</f>
        <v>0</v>
      </c>
      <c r="F164" s="355">
        <f t="shared" si="99"/>
        <v>0</v>
      </c>
      <c r="G164" s="355">
        <f t="shared" si="99"/>
        <v>0</v>
      </c>
      <c r="H164" s="355">
        <f t="shared" si="99"/>
        <v>0</v>
      </c>
      <c r="I164" s="355">
        <f t="shared" si="99"/>
        <v>0</v>
      </c>
      <c r="J164" s="355">
        <f t="shared" si="99"/>
        <v>0</v>
      </c>
      <c r="K164" s="355">
        <f t="shared" si="99"/>
        <v>0</v>
      </c>
      <c r="L164" s="355">
        <f t="shared" si="99"/>
        <v>0</v>
      </c>
      <c r="M164" s="355">
        <f t="shared" si="99"/>
        <v>0</v>
      </c>
      <c r="N164" s="355">
        <f t="shared" si="99"/>
        <v>0</v>
      </c>
      <c r="O164" s="355">
        <f t="shared" si="99"/>
        <v>0</v>
      </c>
      <c r="P164" s="355">
        <f>P171*P167+P169*P171+P172*P174</f>
        <v>2422</v>
      </c>
      <c r="Q164" s="355">
        <f t="shared" ref="Q164:CB164" si="100">Q171*Q167+Q169*Q171+Q172*Q174</f>
        <v>2422</v>
      </c>
      <c r="R164" s="355">
        <f t="shared" si="100"/>
        <v>2422</v>
      </c>
      <c r="S164" s="355">
        <f t="shared" si="100"/>
        <v>2422</v>
      </c>
      <c r="T164" s="355">
        <f t="shared" si="100"/>
        <v>2422</v>
      </c>
      <c r="U164" s="355">
        <f t="shared" si="100"/>
        <v>2422</v>
      </c>
      <c r="V164" s="355">
        <f t="shared" si="100"/>
        <v>4844</v>
      </c>
      <c r="W164" s="355">
        <f t="shared" si="100"/>
        <v>4844</v>
      </c>
      <c r="X164" s="355">
        <f t="shared" si="100"/>
        <v>4844</v>
      </c>
      <c r="Y164" s="355">
        <f t="shared" si="100"/>
        <v>4844</v>
      </c>
      <c r="Z164" s="355">
        <f t="shared" si="100"/>
        <v>4844</v>
      </c>
      <c r="AA164" s="355">
        <f t="shared" si="100"/>
        <v>4844</v>
      </c>
      <c r="AB164" s="355">
        <f t="shared" si="100"/>
        <v>9688</v>
      </c>
      <c r="AC164" s="355">
        <f t="shared" si="100"/>
        <v>9688</v>
      </c>
      <c r="AD164" s="355">
        <f t="shared" si="100"/>
        <v>9688</v>
      </c>
      <c r="AE164" s="355">
        <f t="shared" si="100"/>
        <v>9688</v>
      </c>
      <c r="AF164" s="355">
        <f t="shared" si="100"/>
        <v>9688</v>
      </c>
      <c r="AG164" s="355">
        <f t="shared" si="100"/>
        <v>14532</v>
      </c>
      <c r="AH164" s="355">
        <f t="shared" si="100"/>
        <v>14532</v>
      </c>
      <c r="AI164" s="355">
        <f t="shared" si="100"/>
        <v>14532</v>
      </c>
      <c r="AJ164" s="355">
        <f t="shared" si="100"/>
        <v>14532</v>
      </c>
      <c r="AK164" s="355">
        <f t="shared" si="100"/>
        <v>14532</v>
      </c>
      <c r="AL164" s="355">
        <f t="shared" si="100"/>
        <v>14532</v>
      </c>
      <c r="AM164" s="355">
        <f t="shared" si="100"/>
        <v>14532</v>
      </c>
      <c r="AN164" s="355">
        <f t="shared" si="100"/>
        <v>11625.6</v>
      </c>
      <c r="AO164" s="355">
        <f t="shared" si="100"/>
        <v>11625.6</v>
      </c>
      <c r="AP164" s="355">
        <f t="shared" si="100"/>
        <v>11625.6</v>
      </c>
      <c r="AQ164" s="355">
        <f t="shared" si="100"/>
        <v>11625.6</v>
      </c>
      <c r="AR164" s="355">
        <f t="shared" si="100"/>
        <v>11625.6</v>
      </c>
      <c r="AS164" s="355">
        <f t="shared" si="100"/>
        <v>17438.399999999998</v>
      </c>
      <c r="AT164" s="355">
        <f t="shared" si="100"/>
        <v>17438.399999999998</v>
      </c>
      <c r="AU164" s="355">
        <f t="shared" si="100"/>
        <v>17438.399999999998</v>
      </c>
      <c r="AV164" s="355">
        <f t="shared" si="100"/>
        <v>17438.399999999998</v>
      </c>
      <c r="AW164" s="355">
        <f t="shared" si="100"/>
        <v>17438.399999999998</v>
      </c>
      <c r="AX164" s="355">
        <f t="shared" si="100"/>
        <v>17438.399999999998</v>
      </c>
      <c r="AY164" s="355">
        <f t="shared" si="100"/>
        <v>29064</v>
      </c>
      <c r="AZ164" s="355">
        <f t="shared" si="100"/>
        <v>31970.399999999998</v>
      </c>
      <c r="BA164" s="355">
        <f t="shared" si="100"/>
        <v>31970.399999999998</v>
      </c>
      <c r="BB164" s="355">
        <f t="shared" si="100"/>
        <v>40689.599999999999</v>
      </c>
      <c r="BC164" s="355">
        <f t="shared" si="100"/>
        <v>40689.599999999999</v>
      </c>
      <c r="BD164" s="355">
        <f t="shared" si="100"/>
        <v>40689.599999999999</v>
      </c>
      <c r="BE164" s="355">
        <f t="shared" si="100"/>
        <v>63940.799999999996</v>
      </c>
      <c r="BF164" s="355">
        <f t="shared" si="100"/>
        <v>63940.799999999996</v>
      </c>
      <c r="BG164" s="355">
        <f t="shared" si="100"/>
        <v>63940.799999999996</v>
      </c>
      <c r="BH164" s="355">
        <f t="shared" si="100"/>
        <v>87192</v>
      </c>
      <c r="BI164" s="355">
        <f t="shared" si="100"/>
        <v>87192</v>
      </c>
      <c r="BJ164" s="355">
        <f t="shared" si="100"/>
        <v>87192</v>
      </c>
      <c r="BK164" s="355">
        <f t="shared" si="100"/>
        <v>87192</v>
      </c>
      <c r="BL164" s="355">
        <f t="shared" si="100"/>
        <v>93004.800000000003</v>
      </c>
      <c r="BM164" s="355">
        <f t="shared" si="100"/>
        <v>93004.800000000003</v>
      </c>
      <c r="BN164" s="355">
        <f t="shared" si="100"/>
        <v>110443.2</v>
      </c>
      <c r="BO164" s="355">
        <f t="shared" si="100"/>
        <v>110443.2</v>
      </c>
      <c r="BP164" s="355">
        <f t="shared" si="100"/>
        <v>110443.2</v>
      </c>
      <c r="BQ164" s="355">
        <f t="shared" si="100"/>
        <v>156945.60000000001</v>
      </c>
      <c r="BR164" s="355">
        <f t="shared" si="100"/>
        <v>156945.60000000001</v>
      </c>
      <c r="BS164" s="355">
        <f t="shared" si="100"/>
        <v>156945.60000000001</v>
      </c>
      <c r="BT164" s="355">
        <f t="shared" si="100"/>
        <v>203448</v>
      </c>
      <c r="BU164" s="355">
        <f t="shared" si="100"/>
        <v>203448</v>
      </c>
      <c r="BV164" s="355">
        <f t="shared" si="100"/>
        <v>203448</v>
      </c>
      <c r="BW164" s="355">
        <f t="shared" si="100"/>
        <v>203448</v>
      </c>
      <c r="BX164" s="355">
        <f t="shared" si="100"/>
        <v>212167.19999999998</v>
      </c>
      <c r="BY164" s="355">
        <f t="shared" si="100"/>
        <v>212167.19999999998</v>
      </c>
      <c r="BZ164" s="355">
        <f t="shared" si="100"/>
        <v>238324.8</v>
      </c>
      <c r="CA164" s="355">
        <f t="shared" si="100"/>
        <v>238324.8</v>
      </c>
      <c r="CB164" s="355">
        <f t="shared" si="100"/>
        <v>238324.8</v>
      </c>
      <c r="CC164" s="355">
        <f t="shared" ref="CC164:CU164" si="101">CC171*CC167+CC169*CC171+CC172*CC174</f>
        <v>308078.39999999997</v>
      </c>
      <c r="CD164" s="355">
        <f t="shared" si="101"/>
        <v>308078.39999999997</v>
      </c>
      <c r="CE164" s="355">
        <f t="shared" si="101"/>
        <v>308078.39999999997</v>
      </c>
      <c r="CF164" s="355">
        <f t="shared" si="101"/>
        <v>377832</v>
      </c>
      <c r="CG164" s="355">
        <f t="shared" si="101"/>
        <v>377832</v>
      </c>
      <c r="CH164" s="355">
        <f t="shared" si="101"/>
        <v>377832</v>
      </c>
      <c r="CI164" s="355">
        <f t="shared" si="101"/>
        <v>377832</v>
      </c>
      <c r="CJ164" s="355">
        <f t="shared" si="101"/>
        <v>389457.6</v>
      </c>
      <c r="CK164" s="355">
        <f t="shared" si="101"/>
        <v>389457.6</v>
      </c>
      <c r="CL164" s="355">
        <f t="shared" si="101"/>
        <v>424334.39999999997</v>
      </c>
      <c r="CM164" s="355">
        <f t="shared" si="101"/>
        <v>424334.39999999997</v>
      </c>
      <c r="CN164" s="355">
        <f t="shared" si="101"/>
        <v>424334.39999999997</v>
      </c>
      <c r="CO164" s="355">
        <f t="shared" si="101"/>
        <v>517339.19999999995</v>
      </c>
      <c r="CP164" s="355">
        <f t="shared" si="101"/>
        <v>517339.19999999995</v>
      </c>
      <c r="CQ164" s="355">
        <f t="shared" si="101"/>
        <v>517339.19999999995</v>
      </c>
      <c r="CR164" s="355">
        <f t="shared" si="101"/>
        <v>610344</v>
      </c>
      <c r="CS164" s="355">
        <f t="shared" si="101"/>
        <v>610344</v>
      </c>
      <c r="CT164" s="355">
        <f t="shared" si="101"/>
        <v>610344</v>
      </c>
      <c r="CU164" s="355">
        <f t="shared" si="101"/>
        <v>610344</v>
      </c>
    </row>
    <row r="165" spans="1:100" s="375" customFormat="1" ht="15.75" customHeight="1" outlineLevel="3">
      <c r="A165" s="373"/>
      <c r="B165" s="373"/>
      <c r="C165" s="350" t="s">
        <v>372</v>
      </c>
      <c r="D165" s="374"/>
      <c r="E165" s="374"/>
      <c r="F165" s="374">
        <f>HMB!$L$40</f>
        <v>2422</v>
      </c>
      <c r="G165" s="374">
        <f>HMB!$L$40</f>
        <v>2422</v>
      </c>
      <c r="H165" s="374">
        <f>HMB!$L$40</f>
        <v>2422</v>
      </c>
      <c r="I165" s="374">
        <f>HMB!$L$40</f>
        <v>2422</v>
      </c>
      <c r="J165" s="374">
        <f>HMB!$L$40</f>
        <v>2422</v>
      </c>
      <c r="K165" s="374">
        <f>HMB!$L$40</f>
        <v>2422</v>
      </c>
      <c r="L165" s="374">
        <f>HMB!$L$40</f>
        <v>2422</v>
      </c>
      <c r="M165" s="374">
        <f>HMB!$L$40</f>
        <v>2422</v>
      </c>
      <c r="N165" s="374">
        <f>HMB!$L$40</f>
        <v>2422</v>
      </c>
      <c r="O165" s="374">
        <f>HMB!$L$40</f>
        <v>2422</v>
      </c>
      <c r="P165" s="374">
        <f>HMB!$L$40</f>
        <v>2422</v>
      </c>
      <c r="Q165" s="374">
        <f>HMB!$L$40</f>
        <v>2422</v>
      </c>
      <c r="R165" s="374">
        <f>HMB!$L$40</f>
        <v>2422</v>
      </c>
      <c r="S165" s="374">
        <f>HMB!$L$40</f>
        <v>2422</v>
      </c>
      <c r="T165" s="374">
        <f>HMB!$L$40</f>
        <v>2422</v>
      </c>
      <c r="U165" s="374">
        <f>HMB!$L$40</f>
        <v>2422</v>
      </c>
      <c r="V165" s="374">
        <f>HMB!$L$40</f>
        <v>2422</v>
      </c>
      <c r="W165" s="374">
        <f>HMB!$L$40</f>
        <v>2422</v>
      </c>
      <c r="X165" s="374">
        <f>HMB!$L$40</f>
        <v>2422</v>
      </c>
      <c r="Y165" s="374">
        <f>HMB!$L$40</f>
        <v>2422</v>
      </c>
      <c r="Z165" s="374">
        <f>HMB!$L$40</f>
        <v>2422</v>
      </c>
      <c r="AA165" s="374">
        <f>HMB!$L$40</f>
        <v>2422</v>
      </c>
      <c r="AB165" s="374">
        <f>HMB!$L$40*(1+$AB$179)</f>
        <v>4844</v>
      </c>
      <c r="AC165" s="374">
        <f>HMB!$L$40*2</f>
        <v>4844</v>
      </c>
      <c r="AD165" s="374">
        <f>HMB!$L$40*2</f>
        <v>4844</v>
      </c>
      <c r="AE165" s="374">
        <f>HMB!$L$40*2</f>
        <v>4844</v>
      </c>
      <c r="AF165" s="374">
        <f>HMB!$L$40*2</f>
        <v>4844</v>
      </c>
      <c r="AG165" s="374">
        <f>HMB!$L$40*(1+$AB$179+$AG$179)</f>
        <v>7266</v>
      </c>
      <c r="AH165" s="374">
        <f>HMB!$L$40*3</f>
        <v>7266</v>
      </c>
      <c r="AI165" s="374">
        <f>HMB!$L$40*3</f>
        <v>7266</v>
      </c>
      <c r="AJ165" s="374">
        <f>HMB!$L$40*3</f>
        <v>7266</v>
      </c>
      <c r="AK165" s="374">
        <f>HMB!$L$40*3</f>
        <v>7266</v>
      </c>
      <c r="AL165" s="374">
        <f>HMB!$L$40*3</f>
        <v>7266</v>
      </c>
      <c r="AM165" s="374">
        <f>HMB!$L$40*(1+$AB$179+$AG$179+$AM$179)</f>
        <v>9688</v>
      </c>
      <c r="AN165" s="374">
        <f>HMB!$L$40*(1+$AB$179+$AG$179+$AM$179)</f>
        <v>9688</v>
      </c>
      <c r="AO165" s="374">
        <f>HMB!$L$40*(1+$AB$179+$AG$179+$AM$179)</f>
        <v>9688</v>
      </c>
      <c r="AP165" s="374">
        <f>HMB!$L$40*(1+$AB$179+$AG$179+$AM$179)</f>
        <v>9688</v>
      </c>
      <c r="AQ165" s="374">
        <f>HMB!$L$40*(1+$AB$179+$AG$179+$AM$179)</f>
        <v>9688</v>
      </c>
      <c r="AR165" s="374">
        <f>HMB!$L$40*(1+$AB$179+$AG$179+$AM$179)</f>
        <v>9688</v>
      </c>
      <c r="AS165" s="374">
        <f>HMB!$L$40*(1+$AB$179+$AG$179+$AM$179+$AS$181)</f>
        <v>14532</v>
      </c>
      <c r="AT165" s="374">
        <f>HMB!$L$40*(1+$AB$179+$AG$179+$AM$179+$AS$181)</f>
        <v>14532</v>
      </c>
      <c r="AU165" s="374">
        <f>HMB!$L$40*(1+$AB$179+$AG$179+$AM$179+$AS$181)</f>
        <v>14532</v>
      </c>
      <c r="AV165" s="374">
        <f>HMB!$L$40*(1+$AB$179+$AG$179+$AM$179+$AS$181)</f>
        <v>14532</v>
      </c>
      <c r="AW165" s="374">
        <f>HMB!$L$40*(1+$AB$179+$AG$179+$AM$179+$AS$181)</f>
        <v>14532</v>
      </c>
      <c r="AX165" s="374">
        <f>HMB!$L$40*(1+$AB$179+$AG$179+$AM$179+$AS$181)</f>
        <v>14532</v>
      </c>
      <c r="AY165" s="374">
        <f>HMB!$L$40*(1+$AB$179+$AG$179+$AM$179+$AS$181+$AY$183)</f>
        <v>24220</v>
      </c>
      <c r="AZ165" s="374">
        <f>HMB!$L$40*(1+$AB$179+$AG$179+$AM$179+$AS$181+$AY$183+$AZ$179)</f>
        <v>26642</v>
      </c>
      <c r="BA165" s="374">
        <f>HMB!$L$40*(1+$AB$179+$AG$179+$AM$179+$AS$181+$AY$183+$AZ$179)</f>
        <v>26642</v>
      </c>
      <c r="BB165" s="374">
        <f>HMB!$L$40*(1+$AB$179+$AG$179+$AM$179+$AS$181+$AY$183+$AZ$179+$BB$181)</f>
        <v>33908</v>
      </c>
      <c r="BC165" s="374">
        <f>HMB!$L$40*(1+$AB$179+$AG$179+$AM$179+$AS$181+$AY$183+$AZ$179+$BB$181)</f>
        <v>33908</v>
      </c>
      <c r="BD165" s="374">
        <f>HMB!$L$40*(1+$AB$179+$AG$179+$AM$179+$AS$181+$AY$183+$AZ$179+$BB$181)</f>
        <v>33908</v>
      </c>
      <c r="BE165" s="374">
        <f>HMB!$L$40*(1+$AB$179+$AG$179+$AM$179+$AS$181+$AY$183+$AZ$179+$BB$181+$BE$183)</f>
        <v>53284</v>
      </c>
      <c r="BF165" s="374">
        <f>HMB!$L$40*(1+$AB$179+$AG$179+$AM$179+$AS$181+$AY$183+$AZ$179+$BB$181+$BE$183)</f>
        <v>53284</v>
      </c>
      <c r="BG165" s="374">
        <f>HMB!$L$40*(1+$AB$179+$AG$179+$AM$179+$AS$181+$AY$183+$AZ$179+$BB$181+$BE$183)</f>
        <v>53284</v>
      </c>
      <c r="BH165" s="374">
        <f>HMB!$L$40*(1+$AB$179+$AG$179+$AM$179+$AS$181+$AY$183+$AZ$179+$BB$181+$BE$183+$BH$183)</f>
        <v>72660</v>
      </c>
      <c r="BI165" s="374">
        <f>HMB!$L$40*(1+$AB$179+$AG$179+$AM$179+$AS$181+$AY$183+$AZ$179+$BB$181+$BE$183+$BH$183)</f>
        <v>72660</v>
      </c>
      <c r="BJ165" s="374">
        <f>HMB!$L$40*(1+$AB$179+$AG$179+$AM$179+$AS$181+$AY$183+$AZ$179+$BB$181+$BE$183+$BH$183)</f>
        <v>72660</v>
      </c>
      <c r="BK165" s="374">
        <f>HMB!$L$40*(1+$AB$179+$AG$179+$AM$179+$AS$181+$AY$183+$AZ$179+$BB$181+$BE$183+$BH$183)</f>
        <v>72660</v>
      </c>
      <c r="BL165" s="374">
        <f>HMB!$L$40*(1+$AB$179+$AG$179+$AM$179+$AS$181+$AY$183+$AZ$179+$BB$181+$BE$183+$BH$183+$BL$179)</f>
        <v>77504</v>
      </c>
      <c r="BM165" s="374">
        <f>HMB!$L$40*(1+$AB$179+$AG$179+$AM$179+$AS$181+$AY$183+$AZ$179+$BB$181+$BE$183+$BH$183+$BL$179)</f>
        <v>77504</v>
      </c>
      <c r="BN165" s="374">
        <f>HMB!$L$40*(1+$AB$179+$AG$179+$AM$179+$AS$181+$AY$183+$AZ$179+$BB$181+$BE$183+$BH$183+$BL$179+$BN$181)</f>
        <v>92036</v>
      </c>
      <c r="BO165" s="374">
        <f>HMB!$L$40*(1+$AB$179+$AG$179+$AM$179+$AS$181+$AY$183+$AZ$179+$BB$181+$BE$183+$BH$183+$BL$179+$BN$181)</f>
        <v>92036</v>
      </c>
      <c r="BP165" s="374">
        <f>HMB!$L$40*(1+$AB$179+$AG$179+$AM$179+$AS$181+$AY$183+$AZ$179+$BB$181+$BE$183+$BH$183+$BL$179+$BN$181)</f>
        <v>92036</v>
      </c>
      <c r="BQ165" s="374">
        <f>HMB!$L$40*(1+$AB$179+$AG$179+$AM$179+$AS$181+$AY$183+$AZ$179+$BB$181+$BE$183+$BH$183+$BL$179+$BN$181+$BQ$183)</f>
        <v>130788</v>
      </c>
      <c r="BR165" s="374">
        <f>HMB!$L$40*(1+$AB$179+$AG$179+$AM$179+$AS$181+$AY$183+$AZ$179+$BB$181+$BE$183+$BH$183+$BL$179+$BN$181+$BQ$183)</f>
        <v>130788</v>
      </c>
      <c r="BS165" s="374">
        <f>HMB!$L$40*(1+$AB$179+$AG$179+$AM$179+$AS$181+$AY$183+$AZ$179+$BB$181+$BE$183+$BH$183+$BL$179+$BN$181+$BQ$183)</f>
        <v>130788</v>
      </c>
      <c r="BT165" s="374">
        <f>HMB!$L$40*(1+$AB$179+$AG$179+$AM$179+$AS$181+$AY$183+$AZ$179+$BB$181+$BE$183+$BH$183+$BL$179+$BN$181+$BQ$183+$BT$183)</f>
        <v>169540</v>
      </c>
      <c r="BU165" s="374">
        <f>HMB!$L$40*(1+$AB$179+$AG$179+$AM$179+$AS$181+$AY$183+$AZ$179+$BB$181+$BE$183+$BH$183+$BL$179+$BN$181+$BQ$183+$BT$183)</f>
        <v>169540</v>
      </c>
      <c r="BV165" s="374">
        <f>HMB!$L$40*(1+$AB$179+$AG$179+$AM$179+$AS$181+$AY$183+$AZ$179+$BB$181+$BE$183+$BH$183+$BL$179+$BN$181+$BQ$183+$BT$183)</f>
        <v>169540</v>
      </c>
      <c r="BW165" s="374">
        <f>HMB!$L$40*(1+$AB$179+$AG$179+$AM$179+$AS$181+$AY$183+$AZ$179+$BB$181+$BE$183+$BH$183+$BL$179+$BN$181+$BQ$183+$BT$183)</f>
        <v>169540</v>
      </c>
      <c r="BX165" s="374">
        <f>HMB!$L$40*(1+$AB$179+$AG$179+$AM$179+$AS$181+$AY$183+$AZ$179+$BB$181+$BE$183+$BH$183+$BL$179+$BN$181+$BQ$183+$BT$183+$BX$179)</f>
        <v>176806</v>
      </c>
      <c r="BY165" s="374">
        <f>HMB!$L$40*(1+$AB$179+$AG$179+$AM$179+$AS$181+$AY$183+$AZ$179+$BB$181+$BE$183+$BH$183+$BL$179+$BN$181+$BQ$183+$BT$183+$BX$179)</f>
        <v>176806</v>
      </c>
      <c r="BZ165" s="374">
        <f>HMB!$L$40*(1+$AB$179+$AG$179+$AM$179+$AS$181+$AY$183+$AZ$179+$BB$181+$BE$183+$BH$183+$BL$179+$BN$181+$BQ$183+$BT$183+$BX$179+$BZ$181)</f>
        <v>198604</v>
      </c>
      <c r="CA165" s="374">
        <f>HMB!$L$40*(1+$AB$179+$AG$179+$AM$179+$AS$181+$AY$183+$AZ$179+$BB$181+$BE$183+$BH$183+$BL$179+$BN$181+$BQ$183+$BT$183+$BX$179+$BZ$181)</f>
        <v>198604</v>
      </c>
      <c r="CB165" s="374">
        <f>HMB!$L$40*(1+$AB$179+$AG$179+$AM$179+$AS$181+$AY$183+$AZ$179+$BB$181+$BE$183+$BH$183+$BL$179+$BN$181+$BQ$183+$BT$183+$BX$179+$BZ$181)</f>
        <v>198604</v>
      </c>
      <c r="CC165" s="374">
        <f>HMB!$L$40*(1+$AB$179+$AG$179+$AM$179+$AS$181+$AY$183+$AZ$179+$BB$181+$BE$183+$BH$183+$BL$179+$BN$181+$BQ$183+$BT$183+$BX$179+$BZ$181+$CC$183)</f>
        <v>256732</v>
      </c>
      <c r="CD165" s="374">
        <f>HMB!$L$40*(1+$AB$179+$AG$179+$AM$179+$AS$181+$AY$183+$AZ$179+$BB$181+$BE$183+$BH$183+$BL$179+$BN$181+$BQ$183+$BT$183+$BX$179+$BZ$181+$CC$183)</f>
        <v>256732</v>
      </c>
      <c r="CE165" s="374">
        <f>HMB!$L$40*(1+$AB$179+$AG$179+$AM$179+$AS$181+$AY$183+$AZ$179+$BB$181+$BE$183+$BH$183+$BL$179+$BN$181+$BQ$183+$BT$183+$BX$179+$BZ$181+$CC$183)</f>
        <v>256732</v>
      </c>
      <c r="CF165" s="374">
        <f>HMB!$L$40*(1+$AB$179+$AG$179+$AM$179+$AS$181+$AY$183+$AZ$179+$BB$181+$BE$183+$BH$183+$BL$179+$BN$181+$BQ$183+$BT$183+$BX$179+$BZ$181+$CC$183+$CF$183)</f>
        <v>314860</v>
      </c>
      <c r="CG165" s="374">
        <f>HMB!$L$40*(1+$AB$179+$AG$179+$AM$179+$AS$181+$AY$183+$AZ$179+$BB$181+$BE$183+$BH$183+$BL$179+$BN$181+$BQ$183+$BT$183+$BX$179+$BZ$181+$CC$183+$CF$183)</f>
        <v>314860</v>
      </c>
      <c r="CH165" s="374">
        <f>HMB!$L$40*(1+$AB$179+$AG$179+$AM$179+$AS$181+$AY$183+$AZ$179+$BB$181+$BE$183+$BH$183+$BL$179+$BN$181+$BQ$183+$BT$183+$BX$179+$BZ$181+$CC$183+$CF$183)</f>
        <v>314860</v>
      </c>
      <c r="CI165" s="374">
        <f>HMB!$L$40*(1+$AB$179+$AG$179+$AM$179+$AS$181+$AY$183+$AZ$179+$BB$181+$BE$183+$BH$183+$BL$179+$BN$181+$BQ$183+$BT$183+$BX$179+$BZ$181+$CC$183+$CF$183)</f>
        <v>314860</v>
      </c>
      <c r="CJ165" s="374">
        <f>HMB!$L$40*(1+$AB$179+$AG$179+$AM$179+$AS$181+$AY$183+$AZ$179+$BB$181+$BE$183+$BH$183+$BL$179+$BN$181+$BQ$183+$BT$183+$BX$179+$BZ$181+$CC$183+$CF$183+$CJ$179)</f>
        <v>324548</v>
      </c>
      <c r="CK165" s="374">
        <f>HMB!$L$40*(1+$AB$179+$AG$179+$AM$179+$AS$181+$AY$183+$AZ$179+$BB$181+$BE$183+$BH$183+$BL$179+$BN$181+$BQ$183+$BT$183+$BX$179+$BZ$181+$CC$183+$CF$183+$CJ$179)</f>
        <v>324548</v>
      </c>
      <c r="CL165" s="374">
        <f>HMB!$L$40*(1+$AB$179+$AG$179+$AM$179+$AS$181+$AY$183+$AZ$179+$BB$181+$BE$183+$BH$183+$BL$179+$BN$181+$BQ$183+$BT$183+$BX$179+$BZ$181+$CC$183+$CF$183+$CJ$179+$CL$181)</f>
        <v>353612</v>
      </c>
      <c r="CM165" s="374">
        <f>HMB!$L$40*(1+$AB$179+$AG$179+$AM$179+$AS$181+$AY$183+$AZ$179+$BB$181+$BE$183+$BH$183+$BL$179+$BN$181+$BQ$183+$BT$183+$BX$179+$BZ$181+$CC$183+$CF$183+$CJ$179+$CL$181)</f>
        <v>353612</v>
      </c>
      <c r="CN165" s="374">
        <f>HMB!$L$40*(1+$AB$179+$AG$179+$AM$179+$AS$181+$AY$183+$AZ$179+$BB$181+$BE$183+$BH$183+$BL$179+$BN$181+$BQ$183+$BT$183+$BX$179+$BZ$181+$CC$183+$CF$183+$CJ$179+$CL$181)</f>
        <v>353612</v>
      </c>
      <c r="CO165" s="374">
        <f>HMB!$L$40*(1+$AB$179+$AG$179+$AM$179+$AS$181+$AY$183+$AZ$179+$BB$181+$BE$183+$BH$183+$BL$179+$BN$181+$BQ$183+$BT$183+$BX$179+$BZ$181+$CC$183+$CF$183+$CJ$179+$CL$181+$CO$183)</f>
        <v>431116</v>
      </c>
      <c r="CP165" s="374">
        <f>HMB!$L$40*(1+$AB$179+$AG$179+$AM$179+$AS$181+$AY$183+$AZ$179+$BB$181+$BE$183+$BH$183+$BL$179+$BN$181+$BQ$183+$BT$183+$BX$179+$BZ$181+$CC$183+$CF$183+$CJ$179+$CL$181+$CO$183)</f>
        <v>431116</v>
      </c>
      <c r="CQ165" s="374">
        <f>HMB!$L$40*(1+$AB$179+$AG$179+$AM$179+$AS$181+$AY$183+$AZ$179+$BB$181+$BE$183+$BH$183+$BL$179+$BN$181+$BQ$183+$BT$183+$BX$179+$BZ$181+$CC$183+$CF$183+$CJ$179+$CL$181+$CO$183)</f>
        <v>431116</v>
      </c>
      <c r="CR165" s="374">
        <f>HMB!$L$40*(1+$AB$179+$AG$179+$AM$179+$AS$181+$AY$183+$AZ$179+$BB$181+$BE$183+$BH$183+$BL$179+$BN$181+$BQ$183+$BT$183+$BX$179+$BZ$181+$CC$183+$CF$183+$CJ$179+$CL$181+$CO$183+$CR$183)</f>
        <v>508620</v>
      </c>
      <c r="CS165" s="374">
        <f>HMB!$L$40*(1+$AB$179+$AG$179+$AM$179+$AS$181+$AY$183+$AZ$179+$BB$181+$BE$183+$BH$183+$BL$179+$BN$181+$BQ$183+$BT$183+$BX$179+$BZ$181+$CC$183+$CF$183+$CJ$179+$CL$181+$CO$183+$CR$183)</f>
        <v>508620</v>
      </c>
      <c r="CT165" s="374">
        <f>HMB!$L$40*(1+$AB$179+$AG$179+$AM$179+$AS$181+$AY$183+$AZ$179+$BB$181+$BE$183+$BH$183+$BL$179+$BN$181+$BQ$183+$BT$183+$BX$179+$BZ$181+$CC$183+$CF$183+$CJ$179+$CL$181+$CO$183+$CR$183)</f>
        <v>508620</v>
      </c>
      <c r="CU165" s="374">
        <f>HMB!$L$40*(1+$AB$179+$AG$179+$AM$179+$AS$181+$AY$183+$AZ$179+$BB$181+$BE$183+$BH$183+$BL$179+$BN$181+$BQ$183+$BT$183+$BX$179+$BZ$181+$CC$183+$CF$183+$CJ$179+$CL$181+$CO$183+$CR$183)</f>
        <v>508620</v>
      </c>
    </row>
    <row r="166" spans="1:100" s="352" customFormat="1" ht="15.75" customHeight="1" outlineLevel="2">
      <c r="A166" s="350"/>
      <c r="B166" s="68"/>
      <c r="C166" s="350" t="s">
        <v>231</v>
      </c>
      <c r="D166" s="374"/>
      <c r="E166" s="374"/>
      <c r="F166" s="374">
        <f>F167+F169+F172</f>
        <v>0</v>
      </c>
      <c r="G166" s="374">
        <f t="shared" ref="G166:BR166" si="102">G167+G169+G172</f>
        <v>0</v>
      </c>
      <c r="H166" s="374">
        <f t="shared" si="102"/>
        <v>0</v>
      </c>
      <c r="I166" s="374">
        <f t="shared" si="102"/>
        <v>0</v>
      </c>
      <c r="J166" s="374">
        <f t="shared" si="102"/>
        <v>0</v>
      </c>
      <c r="K166" s="374">
        <f t="shared" si="102"/>
        <v>0</v>
      </c>
      <c r="L166" s="374">
        <f t="shared" si="102"/>
        <v>0</v>
      </c>
      <c r="M166" s="374">
        <f t="shared" si="102"/>
        <v>0</v>
      </c>
      <c r="N166" s="374">
        <f t="shared" si="102"/>
        <v>0</v>
      </c>
      <c r="O166" s="374">
        <f t="shared" si="102"/>
        <v>0</v>
      </c>
      <c r="P166" s="374">
        <f t="shared" si="102"/>
        <v>484.40000000000003</v>
      </c>
      <c r="Q166" s="374">
        <f t="shared" si="102"/>
        <v>484.40000000000003</v>
      </c>
      <c r="R166" s="374">
        <f t="shared" si="102"/>
        <v>484.40000000000003</v>
      </c>
      <c r="S166" s="374">
        <f t="shared" si="102"/>
        <v>484.40000000000003</v>
      </c>
      <c r="T166" s="374">
        <f t="shared" si="102"/>
        <v>484.40000000000003</v>
      </c>
      <c r="U166" s="374">
        <f t="shared" si="102"/>
        <v>484.40000000000003</v>
      </c>
      <c r="V166" s="374">
        <f t="shared" si="102"/>
        <v>968.80000000000007</v>
      </c>
      <c r="W166" s="374">
        <f t="shared" si="102"/>
        <v>968.80000000000007</v>
      </c>
      <c r="X166" s="374">
        <f t="shared" si="102"/>
        <v>968.80000000000007</v>
      </c>
      <c r="Y166" s="374">
        <f t="shared" si="102"/>
        <v>968.80000000000007</v>
      </c>
      <c r="Z166" s="374">
        <f t="shared" si="102"/>
        <v>968.80000000000007</v>
      </c>
      <c r="AA166" s="374">
        <f t="shared" si="102"/>
        <v>968.80000000000007</v>
      </c>
      <c r="AB166" s="374">
        <f t="shared" si="102"/>
        <v>1937.6000000000001</v>
      </c>
      <c r="AC166" s="374">
        <f t="shared" si="102"/>
        <v>1937.6000000000001</v>
      </c>
      <c r="AD166" s="374">
        <f t="shared" si="102"/>
        <v>1937.6000000000001</v>
      </c>
      <c r="AE166" s="374">
        <f t="shared" si="102"/>
        <v>1937.6000000000001</v>
      </c>
      <c r="AF166" s="374">
        <f t="shared" si="102"/>
        <v>1937.6000000000001</v>
      </c>
      <c r="AG166" s="374">
        <f t="shared" si="102"/>
        <v>2906.4</v>
      </c>
      <c r="AH166" s="374">
        <f t="shared" si="102"/>
        <v>2906.4</v>
      </c>
      <c r="AI166" s="374">
        <f t="shared" si="102"/>
        <v>2906.4</v>
      </c>
      <c r="AJ166" s="374">
        <f t="shared" si="102"/>
        <v>2906.4</v>
      </c>
      <c r="AK166" s="374">
        <f t="shared" si="102"/>
        <v>2906.4</v>
      </c>
      <c r="AL166" s="374">
        <f t="shared" si="102"/>
        <v>2906.4</v>
      </c>
      <c r="AM166" s="374">
        <f t="shared" si="102"/>
        <v>2906.4</v>
      </c>
      <c r="AN166" s="374">
        <f t="shared" si="102"/>
        <v>9688</v>
      </c>
      <c r="AO166" s="374">
        <f t="shared" si="102"/>
        <v>9688</v>
      </c>
      <c r="AP166" s="374">
        <f t="shared" si="102"/>
        <v>9688</v>
      </c>
      <c r="AQ166" s="374">
        <f t="shared" si="102"/>
        <v>9688</v>
      </c>
      <c r="AR166" s="374">
        <f t="shared" si="102"/>
        <v>9688</v>
      </c>
      <c r="AS166" s="374">
        <f t="shared" si="102"/>
        <v>14532</v>
      </c>
      <c r="AT166" s="374">
        <f t="shared" si="102"/>
        <v>14532</v>
      </c>
      <c r="AU166" s="374">
        <f t="shared" si="102"/>
        <v>14532</v>
      </c>
      <c r="AV166" s="374">
        <f t="shared" si="102"/>
        <v>14532</v>
      </c>
      <c r="AW166" s="374">
        <f t="shared" si="102"/>
        <v>14532</v>
      </c>
      <c r="AX166" s="374">
        <f t="shared" si="102"/>
        <v>14532</v>
      </c>
      <c r="AY166" s="374">
        <f t="shared" si="102"/>
        <v>24220</v>
      </c>
      <c r="AZ166" s="374">
        <f t="shared" si="102"/>
        <v>26642</v>
      </c>
      <c r="BA166" s="374">
        <f t="shared" si="102"/>
        <v>26642</v>
      </c>
      <c r="BB166" s="374">
        <f t="shared" si="102"/>
        <v>33908</v>
      </c>
      <c r="BC166" s="374">
        <f t="shared" si="102"/>
        <v>33908</v>
      </c>
      <c r="BD166" s="374">
        <f t="shared" si="102"/>
        <v>33908</v>
      </c>
      <c r="BE166" s="374">
        <f t="shared" si="102"/>
        <v>53284</v>
      </c>
      <c r="BF166" s="374">
        <f t="shared" si="102"/>
        <v>53284</v>
      </c>
      <c r="BG166" s="374">
        <f t="shared" si="102"/>
        <v>53284</v>
      </c>
      <c r="BH166" s="374">
        <f t="shared" si="102"/>
        <v>72660</v>
      </c>
      <c r="BI166" s="374">
        <f t="shared" si="102"/>
        <v>72660</v>
      </c>
      <c r="BJ166" s="374">
        <f t="shared" si="102"/>
        <v>72660</v>
      </c>
      <c r="BK166" s="374">
        <f t="shared" si="102"/>
        <v>72660</v>
      </c>
      <c r="BL166" s="374">
        <f t="shared" si="102"/>
        <v>77504</v>
      </c>
      <c r="BM166" s="374">
        <f t="shared" si="102"/>
        <v>77504</v>
      </c>
      <c r="BN166" s="374">
        <f t="shared" si="102"/>
        <v>92036</v>
      </c>
      <c r="BO166" s="374">
        <f t="shared" si="102"/>
        <v>92036</v>
      </c>
      <c r="BP166" s="374">
        <f t="shared" si="102"/>
        <v>92036</v>
      </c>
      <c r="BQ166" s="374">
        <f t="shared" si="102"/>
        <v>130788</v>
      </c>
      <c r="BR166" s="374">
        <f t="shared" si="102"/>
        <v>130788</v>
      </c>
      <c r="BS166" s="374">
        <f t="shared" ref="BS166:CU166" si="103">BS167+BS169+BS172</f>
        <v>130788</v>
      </c>
      <c r="BT166" s="374">
        <f t="shared" si="103"/>
        <v>169540</v>
      </c>
      <c r="BU166" s="374">
        <f t="shared" si="103"/>
        <v>169540</v>
      </c>
      <c r="BV166" s="374">
        <f t="shared" si="103"/>
        <v>169540</v>
      </c>
      <c r="BW166" s="374">
        <f t="shared" si="103"/>
        <v>169540</v>
      </c>
      <c r="BX166" s="374">
        <f t="shared" si="103"/>
        <v>176806</v>
      </c>
      <c r="BY166" s="374">
        <f t="shared" si="103"/>
        <v>176806</v>
      </c>
      <c r="BZ166" s="374">
        <f t="shared" si="103"/>
        <v>198604</v>
      </c>
      <c r="CA166" s="374">
        <f t="shared" si="103"/>
        <v>198604</v>
      </c>
      <c r="CB166" s="374">
        <f t="shared" si="103"/>
        <v>198604</v>
      </c>
      <c r="CC166" s="374">
        <f t="shared" si="103"/>
        <v>256732</v>
      </c>
      <c r="CD166" s="374">
        <f t="shared" si="103"/>
        <v>256732</v>
      </c>
      <c r="CE166" s="374">
        <f t="shared" si="103"/>
        <v>256732</v>
      </c>
      <c r="CF166" s="374">
        <f t="shared" si="103"/>
        <v>314860</v>
      </c>
      <c r="CG166" s="374">
        <f t="shared" si="103"/>
        <v>314860</v>
      </c>
      <c r="CH166" s="374">
        <f t="shared" si="103"/>
        <v>314860</v>
      </c>
      <c r="CI166" s="374">
        <f t="shared" si="103"/>
        <v>314860</v>
      </c>
      <c r="CJ166" s="374">
        <f t="shared" si="103"/>
        <v>324548</v>
      </c>
      <c r="CK166" s="374">
        <f t="shared" si="103"/>
        <v>324548</v>
      </c>
      <c r="CL166" s="374">
        <f t="shared" si="103"/>
        <v>353612</v>
      </c>
      <c r="CM166" s="374">
        <f t="shared" si="103"/>
        <v>353612</v>
      </c>
      <c r="CN166" s="374">
        <f t="shared" si="103"/>
        <v>353612</v>
      </c>
      <c r="CO166" s="374">
        <f t="shared" si="103"/>
        <v>431116</v>
      </c>
      <c r="CP166" s="374">
        <f t="shared" si="103"/>
        <v>431116</v>
      </c>
      <c r="CQ166" s="374">
        <f t="shared" si="103"/>
        <v>431116</v>
      </c>
      <c r="CR166" s="374">
        <f t="shared" si="103"/>
        <v>508620</v>
      </c>
      <c r="CS166" s="374">
        <f t="shared" si="103"/>
        <v>508620</v>
      </c>
      <c r="CT166" s="374">
        <f t="shared" si="103"/>
        <v>508620</v>
      </c>
      <c r="CU166" s="374">
        <f t="shared" si="103"/>
        <v>508620</v>
      </c>
    </row>
    <row r="167" spans="1:100" s="352" customFormat="1" ht="15.75" customHeight="1" outlineLevel="2">
      <c r="A167" s="350"/>
      <c r="B167" s="68"/>
      <c r="C167" s="350" t="s">
        <v>232</v>
      </c>
      <c r="D167" s="374"/>
      <c r="E167" s="374"/>
      <c r="F167" s="374">
        <f>F165*F168</f>
        <v>0</v>
      </c>
      <c r="G167" s="374">
        <f t="shared" ref="G167:BR167" si="104">G165*G168</f>
        <v>0</v>
      </c>
      <c r="H167" s="374">
        <f t="shared" si="104"/>
        <v>0</v>
      </c>
      <c r="I167" s="374">
        <f t="shared" si="104"/>
        <v>0</v>
      </c>
      <c r="J167" s="374">
        <f t="shared" si="104"/>
        <v>0</v>
      </c>
      <c r="K167" s="374">
        <f t="shared" si="104"/>
        <v>0</v>
      </c>
      <c r="L167" s="374">
        <f t="shared" si="104"/>
        <v>0</v>
      </c>
      <c r="M167" s="374">
        <f t="shared" si="104"/>
        <v>0</v>
      </c>
      <c r="N167" s="374">
        <f t="shared" si="104"/>
        <v>0</v>
      </c>
      <c r="O167" s="374">
        <f t="shared" si="104"/>
        <v>0</v>
      </c>
      <c r="P167" s="374">
        <f t="shared" si="104"/>
        <v>484.40000000000003</v>
      </c>
      <c r="Q167" s="374">
        <f t="shared" si="104"/>
        <v>484.40000000000003</v>
      </c>
      <c r="R167" s="374">
        <f t="shared" si="104"/>
        <v>484.40000000000003</v>
      </c>
      <c r="S167" s="374">
        <f t="shared" si="104"/>
        <v>484.40000000000003</v>
      </c>
      <c r="T167" s="374">
        <f t="shared" si="104"/>
        <v>484.40000000000003</v>
      </c>
      <c r="U167" s="374">
        <f t="shared" si="104"/>
        <v>484.40000000000003</v>
      </c>
      <c r="V167" s="374">
        <f t="shared" si="104"/>
        <v>968.80000000000007</v>
      </c>
      <c r="W167" s="374">
        <f t="shared" si="104"/>
        <v>968.80000000000007</v>
      </c>
      <c r="X167" s="374">
        <f t="shared" si="104"/>
        <v>968.80000000000007</v>
      </c>
      <c r="Y167" s="374">
        <f t="shared" si="104"/>
        <v>968.80000000000007</v>
      </c>
      <c r="Z167" s="374">
        <f t="shared" si="104"/>
        <v>968.80000000000007</v>
      </c>
      <c r="AA167" s="374">
        <f t="shared" si="104"/>
        <v>968.80000000000007</v>
      </c>
      <c r="AB167" s="374">
        <f t="shared" si="104"/>
        <v>1937.6000000000001</v>
      </c>
      <c r="AC167" s="374">
        <f t="shared" si="104"/>
        <v>1937.6000000000001</v>
      </c>
      <c r="AD167" s="374">
        <f t="shared" si="104"/>
        <v>1937.6000000000001</v>
      </c>
      <c r="AE167" s="374">
        <f t="shared" si="104"/>
        <v>1937.6000000000001</v>
      </c>
      <c r="AF167" s="374">
        <f t="shared" si="104"/>
        <v>1937.6000000000001</v>
      </c>
      <c r="AG167" s="374">
        <f t="shared" si="104"/>
        <v>2906.4</v>
      </c>
      <c r="AH167" s="374">
        <f t="shared" si="104"/>
        <v>2906.4</v>
      </c>
      <c r="AI167" s="374">
        <f t="shared" si="104"/>
        <v>2906.4</v>
      </c>
      <c r="AJ167" s="374">
        <f t="shared" si="104"/>
        <v>2906.4</v>
      </c>
      <c r="AK167" s="374">
        <f t="shared" si="104"/>
        <v>2906.4</v>
      </c>
      <c r="AL167" s="374">
        <f t="shared" si="104"/>
        <v>2906.4</v>
      </c>
      <c r="AM167" s="374">
        <f t="shared" si="104"/>
        <v>2906.4</v>
      </c>
      <c r="AN167" s="374">
        <f t="shared" si="104"/>
        <v>0</v>
      </c>
      <c r="AO167" s="374">
        <f t="shared" si="104"/>
        <v>0</v>
      </c>
      <c r="AP167" s="374">
        <f t="shared" si="104"/>
        <v>0</v>
      </c>
      <c r="AQ167" s="374">
        <f t="shared" si="104"/>
        <v>0</v>
      </c>
      <c r="AR167" s="374">
        <f t="shared" si="104"/>
        <v>0</v>
      </c>
      <c r="AS167" s="374">
        <f t="shared" si="104"/>
        <v>0</v>
      </c>
      <c r="AT167" s="374">
        <f t="shared" si="104"/>
        <v>0</v>
      </c>
      <c r="AU167" s="374">
        <f t="shared" si="104"/>
        <v>0</v>
      </c>
      <c r="AV167" s="374">
        <f t="shared" si="104"/>
        <v>0</v>
      </c>
      <c r="AW167" s="374">
        <f t="shared" si="104"/>
        <v>0</v>
      </c>
      <c r="AX167" s="374">
        <f t="shared" si="104"/>
        <v>0</v>
      </c>
      <c r="AY167" s="374">
        <f t="shared" si="104"/>
        <v>0</v>
      </c>
      <c r="AZ167" s="374">
        <f t="shared" si="104"/>
        <v>0</v>
      </c>
      <c r="BA167" s="374">
        <f t="shared" si="104"/>
        <v>0</v>
      </c>
      <c r="BB167" s="374">
        <f t="shared" si="104"/>
        <v>0</v>
      </c>
      <c r="BC167" s="374">
        <f t="shared" si="104"/>
        <v>0</v>
      </c>
      <c r="BD167" s="374">
        <f t="shared" si="104"/>
        <v>0</v>
      </c>
      <c r="BE167" s="374">
        <f t="shared" si="104"/>
        <v>0</v>
      </c>
      <c r="BF167" s="374">
        <f t="shared" si="104"/>
        <v>0</v>
      </c>
      <c r="BG167" s="374">
        <f t="shared" si="104"/>
        <v>0</v>
      </c>
      <c r="BH167" s="374">
        <f t="shared" si="104"/>
        <v>0</v>
      </c>
      <c r="BI167" s="374">
        <f t="shared" si="104"/>
        <v>0</v>
      </c>
      <c r="BJ167" s="374">
        <f t="shared" si="104"/>
        <v>0</v>
      </c>
      <c r="BK167" s="374">
        <f t="shared" si="104"/>
        <v>0</v>
      </c>
      <c r="BL167" s="374">
        <f t="shared" si="104"/>
        <v>0</v>
      </c>
      <c r="BM167" s="374">
        <f t="shared" si="104"/>
        <v>0</v>
      </c>
      <c r="BN167" s="374">
        <f t="shared" si="104"/>
        <v>0</v>
      </c>
      <c r="BO167" s="374">
        <f t="shared" si="104"/>
        <v>0</v>
      </c>
      <c r="BP167" s="374">
        <f t="shared" si="104"/>
        <v>0</v>
      </c>
      <c r="BQ167" s="374">
        <f t="shared" si="104"/>
        <v>0</v>
      </c>
      <c r="BR167" s="374">
        <f t="shared" si="104"/>
        <v>0</v>
      </c>
      <c r="BS167" s="374">
        <f t="shared" ref="BS167:CU167" si="105">BS165*BS168</f>
        <v>0</v>
      </c>
      <c r="BT167" s="374">
        <f t="shared" si="105"/>
        <v>0</v>
      </c>
      <c r="BU167" s="374">
        <f t="shared" si="105"/>
        <v>0</v>
      </c>
      <c r="BV167" s="374">
        <f t="shared" si="105"/>
        <v>0</v>
      </c>
      <c r="BW167" s="374">
        <f t="shared" si="105"/>
        <v>0</v>
      </c>
      <c r="BX167" s="374">
        <f t="shared" si="105"/>
        <v>0</v>
      </c>
      <c r="BY167" s="374">
        <f t="shared" si="105"/>
        <v>0</v>
      </c>
      <c r="BZ167" s="374">
        <f t="shared" si="105"/>
        <v>0</v>
      </c>
      <c r="CA167" s="374">
        <f t="shared" si="105"/>
        <v>0</v>
      </c>
      <c r="CB167" s="374">
        <f t="shared" si="105"/>
        <v>0</v>
      </c>
      <c r="CC167" s="374">
        <f t="shared" si="105"/>
        <v>0</v>
      </c>
      <c r="CD167" s="374">
        <f t="shared" si="105"/>
        <v>0</v>
      </c>
      <c r="CE167" s="374">
        <f t="shared" si="105"/>
        <v>0</v>
      </c>
      <c r="CF167" s="374">
        <f t="shared" si="105"/>
        <v>0</v>
      </c>
      <c r="CG167" s="374">
        <f t="shared" si="105"/>
        <v>0</v>
      </c>
      <c r="CH167" s="374">
        <f t="shared" si="105"/>
        <v>0</v>
      </c>
      <c r="CI167" s="374">
        <f t="shared" si="105"/>
        <v>0</v>
      </c>
      <c r="CJ167" s="374">
        <f t="shared" si="105"/>
        <v>0</v>
      </c>
      <c r="CK167" s="374">
        <f t="shared" si="105"/>
        <v>0</v>
      </c>
      <c r="CL167" s="374">
        <f t="shared" si="105"/>
        <v>0</v>
      </c>
      <c r="CM167" s="374">
        <f t="shared" si="105"/>
        <v>0</v>
      </c>
      <c r="CN167" s="374">
        <f t="shared" si="105"/>
        <v>0</v>
      </c>
      <c r="CO167" s="374">
        <f t="shared" si="105"/>
        <v>0</v>
      </c>
      <c r="CP167" s="374">
        <f t="shared" si="105"/>
        <v>0</v>
      </c>
      <c r="CQ167" s="374">
        <f t="shared" si="105"/>
        <v>0</v>
      </c>
      <c r="CR167" s="374">
        <f t="shared" si="105"/>
        <v>0</v>
      </c>
      <c r="CS167" s="374">
        <f t="shared" si="105"/>
        <v>0</v>
      </c>
      <c r="CT167" s="374">
        <f t="shared" si="105"/>
        <v>0</v>
      </c>
      <c r="CU167" s="374">
        <f t="shared" si="105"/>
        <v>0</v>
      </c>
    </row>
    <row r="168" spans="1:100" ht="15.75" customHeight="1" outlineLevel="2">
      <c r="A168" s="84"/>
      <c r="B168" s="21"/>
      <c r="C168" s="84" t="s">
        <v>233</v>
      </c>
      <c r="D168" s="354"/>
      <c r="E168" s="354"/>
      <c r="F168" s="372">
        <v>0</v>
      </c>
      <c r="G168" s="372">
        <v>0</v>
      </c>
      <c r="H168" s="372">
        <v>0</v>
      </c>
      <c r="I168" s="372">
        <v>0</v>
      </c>
      <c r="J168" s="372">
        <v>0</v>
      </c>
      <c r="K168" s="372">
        <v>0</v>
      </c>
      <c r="L168" s="372">
        <v>0</v>
      </c>
      <c r="M168" s="372">
        <v>0</v>
      </c>
      <c r="N168" s="372">
        <v>0</v>
      </c>
      <c r="O168" s="372">
        <v>0</v>
      </c>
      <c r="P168" s="372">
        <v>0.2</v>
      </c>
      <c r="Q168" s="372">
        <v>0.2</v>
      </c>
      <c r="R168" s="372">
        <v>0.2</v>
      </c>
      <c r="S168" s="372">
        <v>0.2</v>
      </c>
      <c r="T168" s="372">
        <v>0.2</v>
      </c>
      <c r="U168" s="372">
        <v>0.2</v>
      </c>
      <c r="V168" s="372">
        <v>0.4</v>
      </c>
      <c r="W168" s="372">
        <v>0.4</v>
      </c>
      <c r="X168" s="372">
        <v>0.4</v>
      </c>
      <c r="Y168" s="372">
        <v>0.4</v>
      </c>
      <c r="Z168" s="372">
        <v>0.4</v>
      </c>
      <c r="AA168" s="372">
        <v>0.4</v>
      </c>
      <c r="AB168" s="372">
        <v>0.4</v>
      </c>
      <c r="AC168" s="372">
        <v>0.4</v>
      </c>
      <c r="AD168" s="372">
        <v>0.4</v>
      </c>
      <c r="AE168" s="372">
        <v>0.4</v>
      </c>
      <c r="AF168" s="372">
        <v>0.4</v>
      </c>
      <c r="AG168" s="372">
        <v>0.4</v>
      </c>
      <c r="AH168" s="372">
        <v>0.4</v>
      </c>
      <c r="AI168" s="372">
        <v>0.4</v>
      </c>
      <c r="AJ168" s="372">
        <v>0.4</v>
      </c>
      <c r="AK168" s="372">
        <v>0.4</v>
      </c>
      <c r="AL168" s="372">
        <v>0.4</v>
      </c>
      <c r="AM168" s="372">
        <v>0.3</v>
      </c>
      <c r="AN168" s="372">
        <v>0</v>
      </c>
      <c r="AO168" s="372">
        <v>0</v>
      </c>
      <c r="AP168" s="372">
        <v>0</v>
      </c>
      <c r="AQ168" s="372">
        <v>0</v>
      </c>
      <c r="AR168" s="372">
        <v>0</v>
      </c>
      <c r="AS168" s="372">
        <v>0</v>
      </c>
      <c r="AT168" s="372">
        <v>0</v>
      </c>
      <c r="AU168" s="372">
        <v>0</v>
      </c>
      <c r="AV168" s="372">
        <v>0</v>
      </c>
      <c r="AW168" s="372">
        <v>0</v>
      </c>
      <c r="AX168" s="372">
        <v>0</v>
      </c>
      <c r="AY168" s="372">
        <v>0</v>
      </c>
      <c r="AZ168" s="372">
        <v>0</v>
      </c>
      <c r="BA168" s="372">
        <v>0</v>
      </c>
      <c r="BB168" s="372">
        <v>0</v>
      </c>
      <c r="BC168" s="372">
        <v>0</v>
      </c>
      <c r="BD168" s="372">
        <v>0</v>
      </c>
      <c r="BE168" s="372">
        <v>0</v>
      </c>
      <c r="BF168" s="372">
        <v>0</v>
      </c>
      <c r="BG168" s="372">
        <v>0</v>
      </c>
      <c r="BH168" s="372">
        <v>0</v>
      </c>
      <c r="BI168" s="372">
        <v>0</v>
      </c>
      <c r="BJ168" s="372">
        <v>0</v>
      </c>
      <c r="BK168" s="372">
        <v>0</v>
      </c>
      <c r="BL168" s="372">
        <v>0</v>
      </c>
      <c r="BM168" s="372">
        <v>0</v>
      </c>
      <c r="BN168" s="372">
        <v>0</v>
      </c>
      <c r="BO168" s="372">
        <v>0</v>
      </c>
      <c r="BP168" s="372">
        <v>0</v>
      </c>
      <c r="BQ168" s="372">
        <v>0</v>
      </c>
      <c r="BR168" s="372">
        <v>0</v>
      </c>
      <c r="BS168" s="372">
        <v>0</v>
      </c>
      <c r="BT168" s="372">
        <v>0</v>
      </c>
      <c r="BU168" s="372">
        <v>0</v>
      </c>
      <c r="BV168" s="372">
        <v>0</v>
      </c>
      <c r="BW168" s="372">
        <v>0</v>
      </c>
      <c r="BX168" s="372">
        <v>0</v>
      </c>
      <c r="BY168" s="372">
        <v>0</v>
      </c>
      <c r="BZ168" s="372">
        <v>0</v>
      </c>
      <c r="CA168" s="372">
        <v>0</v>
      </c>
      <c r="CB168" s="372">
        <v>0</v>
      </c>
      <c r="CC168" s="372">
        <v>0</v>
      </c>
      <c r="CD168" s="372">
        <v>0</v>
      </c>
      <c r="CE168" s="372">
        <v>0</v>
      </c>
      <c r="CF168" s="372">
        <v>0</v>
      </c>
      <c r="CG168" s="372">
        <v>0</v>
      </c>
      <c r="CH168" s="372">
        <v>0</v>
      </c>
      <c r="CI168" s="372">
        <v>0</v>
      </c>
      <c r="CJ168" s="372">
        <v>0</v>
      </c>
      <c r="CK168" s="372">
        <v>0</v>
      </c>
      <c r="CL168" s="372">
        <v>0</v>
      </c>
      <c r="CM168" s="372">
        <v>0</v>
      </c>
      <c r="CN168" s="372">
        <v>0</v>
      </c>
      <c r="CO168" s="372">
        <v>0</v>
      </c>
      <c r="CP168" s="372">
        <v>0</v>
      </c>
      <c r="CQ168" s="372">
        <v>0</v>
      </c>
      <c r="CR168" s="372">
        <v>0</v>
      </c>
      <c r="CS168" s="372">
        <v>0</v>
      </c>
      <c r="CT168" s="372">
        <v>0</v>
      </c>
      <c r="CU168" s="372">
        <v>0</v>
      </c>
    </row>
    <row r="169" spans="1:100" s="352" customFormat="1" ht="15.75" customHeight="1" outlineLevel="2">
      <c r="A169" s="350"/>
      <c r="B169" s="68"/>
      <c r="C169" s="350" t="s">
        <v>234</v>
      </c>
      <c r="D169" s="374"/>
      <c r="E169" s="374"/>
      <c r="F169" s="374">
        <f t="shared" ref="F169:AM169" si="106">F165*F170</f>
        <v>0</v>
      </c>
      <c r="G169" s="374">
        <f t="shared" si="106"/>
        <v>0</v>
      </c>
      <c r="H169" s="374">
        <f t="shared" si="106"/>
        <v>0</v>
      </c>
      <c r="I169" s="374">
        <f t="shared" si="106"/>
        <v>0</v>
      </c>
      <c r="J169" s="374">
        <f t="shared" si="106"/>
        <v>0</v>
      </c>
      <c r="K169" s="374">
        <f t="shared" si="106"/>
        <v>0</v>
      </c>
      <c r="L169" s="374">
        <f t="shared" si="106"/>
        <v>0</v>
      </c>
      <c r="M169" s="374">
        <f t="shared" si="106"/>
        <v>0</v>
      </c>
      <c r="N169" s="374">
        <f t="shared" si="106"/>
        <v>0</v>
      </c>
      <c r="O169" s="374">
        <f t="shared" si="106"/>
        <v>0</v>
      </c>
      <c r="P169" s="374">
        <f t="shared" si="106"/>
        <v>0</v>
      </c>
      <c r="Q169" s="374">
        <f t="shared" si="106"/>
        <v>0</v>
      </c>
      <c r="R169" s="374">
        <f t="shared" si="106"/>
        <v>0</v>
      </c>
      <c r="S169" s="374">
        <f t="shared" si="106"/>
        <v>0</v>
      </c>
      <c r="T169" s="374">
        <f t="shared" si="106"/>
        <v>0</v>
      </c>
      <c r="U169" s="374">
        <f t="shared" si="106"/>
        <v>0</v>
      </c>
      <c r="V169" s="374">
        <f t="shared" si="106"/>
        <v>0</v>
      </c>
      <c r="W169" s="374">
        <f t="shared" si="106"/>
        <v>0</v>
      </c>
      <c r="X169" s="374">
        <f t="shared" si="106"/>
        <v>0</v>
      </c>
      <c r="Y169" s="374">
        <f t="shared" si="106"/>
        <v>0</v>
      </c>
      <c r="Z169" s="374">
        <f t="shared" si="106"/>
        <v>0</v>
      </c>
      <c r="AA169" s="374">
        <f t="shared" si="106"/>
        <v>0</v>
      </c>
      <c r="AB169" s="374">
        <f t="shared" si="106"/>
        <v>0</v>
      </c>
      <c r="AC169" s="374">
        <f t="shared" si="106"/>
        <v>0</v>
      </c>
      <c r="AD169" s="374">
        <f t="shared" si="106"/>
        <v>0</v>
      </c>
      <c r="AE169" s="374">
        <f t="shared" si="106"/>
        <v>0</v>
      </c>
      <c r="AF169" s="374">
        <f t="shared" si="106"/>
        <v>0</v>
      </c>
      <c r="AG169" s="374">
        <f t="shared" si="106"/>
        <v>0</v>
      </c>
      <c r="AH169" s="374">
        <f t="shared" si="106"/>
        <v>0</v>
      </c>
      <c r="AI169" s="374">
        <f t="shared" si="106"/>
        <v>0</v>
      </c>
      <c r="AJ169" s="374">
        <f t="shared" si="106"/>
        <v>0</v>
      </c>
      <c r="AK169" s="374">
        <f t="shared" si="106"/>
        <v>0</v>
      </c>
      <c r="AL169" s="374">
        <f t="shared" si="106"/>
        <v>0</v>
      </c>
      <c r="AM169" s="374">
        <f t="shared" si="106"/>
        <v>0</v>
      </c>
      <c r="AN169" s="374">
        <f>AN165*AN170</f>
        <v>0</v>
      </c>
      <c r="AO169" s="374">
        <f t="shared" ref="AO169:CU169" si="107">AO165*AO170</f>
        <v>0</v>
      </c>
      <c r="AP169" s="374">
        <f t="shared" si="107"/>
        <v>0</v>
      </c>
      <c r="AQ169" s="374">
        <f t="shared" si="107"/>
        <v>0</v>
      </c>
      <c r="AR169" s="374">
        <f t="shared" si="107"/>
        <v>0</v>
      </c>
      <c r="AS169" s="374">
        <f t="shared" si="107"/>
        <v>0</v>
      </c>
      <c r="AT169" s="374">
        <f t="shared" si="107"/>
        <v>0</v>
      </c>
      <c r="AU169" s="374">
        <f t="shared" si="107"/>
        <v>0</v>
      </c>
      <c r="AV169" s="374">
        <f t="shared" si="107"/>
        <v>0</v>
      </c>
      <c r="AW169" s="374">
        <f t="shared" si="107"/>
        <v>0</v>
      </c>
      <c r="AX169" s="374">
        <f t="shared" si="107"/>
        <v>0</v>
      </c>
      <c r="AY169" s="374">
        <f t="shared" si="107"/>
        <v>0</v>
      </c>
      <c r="AZ169" s="374">
        <f t="shared" si="107"/>
        <v>0</v>
      </c>
      <c r="BA169" s="374">
        <f t="shared" si="107"/>
        <v>0</v>
      </c>
      <c r="BB169" s="374">
        <f t="shared" si="107"/>
        <v>0</v>
      </c>
      <c r="BC169" s="374">
        <f t="shared" si="107"/>
        <v>0</v>
      </c>
      <c r="BD169" s="374">
        <f t="shared" si="107"/>
        <v>0</v>
      </c>
      <c r="BE169" s="374">
        <f t="shared" si="107"/>
        <v>0</v>
      </c>
      <c r="BF169" s="374">
        <f t="shared" si="107"/>
        <v>0</v>
      </c>
      <c r="BG169" s="374">
        <f t="shared" si="107"/>
        <v>0</v>
      </c>
      <c r="BH169" s="374">
        <f t="shared" si="107"/>
        <v>0</v>
      </c>
      <c r="BI169" s="374">
        <f t="shared" si="107"/>
        <v>0</v>
      </c>
      <c r="BJ169" s="374">
        <f t="shared" si="107"/>
        <v>0</v>
      </c>
      <c r="BK169" s="374">
        <f t="shared" si="107"/>
        <v>0</v>
      </c>
      <c r="BL169" s="374">
        <f t="shared" si="107"/>
        <v>0</v>
      </c>
      <c r="BM169" s="374">
        <f t="shared" si="107"/>
        <v>0</v>
      </c>
      <c r="BN169" s="374">
        <f t="shared" si="107"/>
        <v>0</v>
      </c>
      <c r="BO169" s="374">
        <f t="shared" si="107"/>
        <v>0</v>
      </c>
      <c r="BP169" s="374">
        <f t="shared" si="107"/>
        <v>0</v>
      </c>
      <c r="BQ169" s="374">
        <f t="shared" si="107"/>
        <v>0</v>
      </c>
      <c r="BR169" s="374">
        <f t="shared" si="107"/>
        <v>0</v>
      </c>
      <c r="BS169" s="374">
        <f t="shared" si="107"/>
        <v>0</v>
      </c>
      <c r="BT169" s="374">
        <f t="shared" si="107"/>
        <v>0</v>
      </c>
      <c r="BU169" s="374">
        <f t="shared" si="107"/>
        <v>0</v>
      </c>
      <c r="BV169" s="374">
        <f t="shared" si="107"/>
        <v>0</v>
      </c>
      <c r="BW169" s="374">
        <f t="shared" si="107"/>
        <v>0</v>
      </c>
      <c r="BX169" s="374">
        <f t="shared" si="107"/>
        <v>0</v>
      </c>
      <c r="BY169" s="374">
        <f t="shared" si="107"/>
        <v>0</v>
      </c>
      <c r="BZ169" s="374">
        <f t="shared" si="107"/>
        <v>0</v>
      </c>
      <c r="CA169" s="374">
        <f t="shared" si="107"/>
        <v>0</v>
      </c>
      <c r="CB169" s="374">
        <f t="shared" si="107"/>
        <v>0</v>
      </c>
      <c r="CC169" s="374">
        <f t="shared" si="107"/>
        <v>0</v>
      </c>
      <c r="CD169" s="374">
        <f t="shared" si="107"/>
        <v>0</v>
      </c>
      <c r="CE169" s="374">
        <f t="shared" si="107"/>
        <v>0</v>
      </c>
      <c r="CF169" s="374">
        <f t="shared" si="107"/>
        <v>0</v>
      </c>
      <c r="CG169" s="374">
        <f t="shared" si="107"/>
        <v>0</v>
      </c>
      <c r="CH169" s="374">
        <f t="shared" si="107"/>
        <v>0</v>
      </c>
      <c r="CI169" s="374">
        <f t="shared" si="107"/>
        <v>0</v>
      </c>
      <c r="CJ169" s="374">
        <f t="shared" si="107"/>
        <v>0</v>
      </c>
      <c r="CK169" s="374">
        <f t="shared" si="107"/>
        <v>0</v>
      </c>
      <c r="CL169" s="374">
        <f t="shared" si="107"/>
        <v>0</v>
      </c>
      <c r="CM169" s="374">
        <f t="shared" si="107"/>
        <v>0</v>
      </c>
      <c r="CN169" s="374">
        <f t="shared" si="107"/>
        <v>0</v>
      </c>
      <c r="CO169" s="374">
        <f t="shared" si="107"/>
        <v>0</v>
      </c>
      <c r="CP169" s="374">
        <f t="shared" si="107"/>
        <v>0</v>
      </c>
      <c r="CQ169" s="374">
        <f t="shared" si="107"/>
        <v>0</v>
      </c>
      <c r="CR169" s="374">
        <f t="shared" si="107"/>
        <v>0</v>
      </c>
      <c r="CS169" s="374">
        <f t="shared" si="107"/>
        <v>0</v>
      </c>
      <c r="CT169" s="374">
        <f t="shared" si="107"/>
        <v>0</v>
      </c>
      <c r="CU169" s="374">
        <f t="shared" si="107"/>
        <v>0</v>
      </c>
    </row>
    <row r="170" spans="1:100" ht="15.75" customHeight="1" outlineLevel="2">
      <c r="A170" s="84"/>
      <c r="B170" s="21"/>
      <c r="C170" s="84" t="s">
        <v>235</v>
      </c>
      <c r="D170" s="354"/>
      <c r="E170" s="354"/>
      <c r="F170" s="372">
        <v>0</v>
      </c>
      <c r="G170" s="372">
        <v>0</v>
      </c>
      <c r="H170" s="372">
        <v>0</v>
      </c>
      <c r="I170" s="372">
        <v>0</v>
      </c>
      <c r="J170" s="372">
        <v>0</v>
      </c>
      <c r="K170" s="372">
        <v>0</v>
      </c>
      <c r="L170" s="372">
        <v>0</v>
      </c>
      <c r="M170" s="372">
        <v>0</v>
      </c>
      <c r="N170" s="372">
        <v>0</v>
      </c>
      <c r="O170" s="372">
        <v>0</v>
      </c>
      <c r="P170" s="372">
        <v>0</v>
      </c>
      <c r="Q170" s="372">
        <v>0</v>
      </c>
      <c r="R170" s="372">
        <v>0</v>
      </c>
      <c r="S170" s="372">
        <v>0</v>
      </c>
      <c r="T170" s="372">
        <v>0</v>
      </c>
      <c r="U170" s="372">
        <v>0</v>
      </c>
      <c r="V170" s="372">
        <v>0</v>
      </c>
      <c r="W170" s="372">
        <v>0</v>
      </c>
      <c r="X170" s="372">
        <v>0</v>
      </c>
      <c r="Y170" s="372">
        <v>0</v>
      </c>
      <c r="Z170" s="372">
        <v>0</v>
      </c>
      <c r="AA170" s="372">
        <v>0</v>
      </c>
      <c r="AB170" s="372">
        <v>0</v>
      </c>
      <c r="AC170" s="372">
        <v>0</v>
      </c>
      <c r="AD170" s="372">
        <v>0</v>
      </c>
      <c r="AE170" s="372">
        <v>0</v>
      </c>
      <c r="AF170" s="372">
        <v>0</v>
      </c>
      <c r="AG170" s="372">
        <v>0</v>
      </c>
      <c r="AH170" s="372">
        <v>0</v>
      </c>
      <c r="AI170" s="372">
        <v>0</v>
      </c>
      <c r="AJ170" s="372">
        <v>0</v>
      </c>
      <c r="AK170" s="372">
        <v>0</v>
      </c>
      <c r="AL170" s="372">
        <v>0</v>
      </c>
      <c r="AM170" s="372">
        <v>0</v>
      </c>
      <c r="AN170" s="372">
        <v>0</v>
      </c>
      <c r="AO170" s="372">
        <v>0</v>
      </c>
      <c r="AP170" s="372">
        <v>0</v>
      </c>
      <c r="AQ170" s="372">
        <v>0</v>
      </c>
      <c r="AR170" s="372">
        <v>0</v>
      </c>
      <c r="AS170" s="372">
        <v>0</v>
      </c>
      <c r="AT170" s="372">
        <v>0</v>
      </c>
      <c r="AU170" s="372">
        <v>0</v>
      </c>
      <c r="AV170" s="372">
        <v>0</v>
      </c>
      <c r="AW170" s="372">
        <v>0</v>
      </c>
      <c r="AX170" s="372">
        <v>0</v>
      </c>
      <c r="AY170" s="372">
        <v>0</v>
      </c>
      <c r="AZ170" s="372">
        <v>0</v>
      </c>
      <c r="BA170" s="372">
        <v>0</v>
      </c>
      <c r="BB170" s="372">
        <v>0</v>
      </c>
      <c r="BC170" s="372">
        <v>0</v>
      </c>
      <c r="BD170" s="372">
        <v>0</v>
      </c>
      <c r="BE170" s="372">
        <v>0</v>
      </c>
      <c r="BF170" s="372">
        <v>0</v>
      </c>
      <c r="BG170" s="372">
        <v>0</v>
      </c>
      <c r="BH170" s="372">
        <v>0</v>
      </c>
      <c r="BI170" s="372">
        <v>0</v>
      </c>
      <c r="BJ170" s="372">
        <v>0</v>
      </c>
      <c r="BK170" s="372">
        <v>0</v>
      </c>
      <c r="BL170" s="372">
        <v>0</v>
      </c>
      <c r="BM170" s="372">
        <v>0</v>
      </c>
      <c r="BN170" s="372">
        <v>0</v>
      </c>
      <c r="BO170" s="372">
        <v>0</v>
      </c>
      <c r="BP170" s="372">
        <v>0</v>
      </c>
      <c r="BQ170" s="372">
        <v>0</v>
      </c>
      <c r="BR170" s="372">
        <v>0</v>
      </c>
      <c r="BS170" s="372">
        <v>0</v>
      </c>
      <c r="BT170" s="372">
        <v>0</v>
      </c>
      <c r="BU170" s="372">
        <v>0</v>
      </c>
      <c r="BV170" s="372">
        <v>0</v>
      </c>
      <c r="BW170" s="372">
        <v>0</v>
      </c>
      <c r="BX170" s="372">
        <v>0</v>
      </c>
      <c r="BY170" s="372">
        <v>0</v>
      </c>
      <c r="BZ170" s="372">
        <v>0</v>
      </c>
      <c r="CA170" s="372">
        <v>0</v>
      </c>
      <c r="CB170" s="372">
        <v>0</v>
      </c>
      <c r="CC170" s="372">
        <v>0</v>
      </c>
      <c r="CD170" s="372">
        <v>0</v>
      </c>
      <c r="CE170" s="372">
        <v>0</v>
      </c>
      <c r="CF170" s="372">
        <v>0</v>
      </c>
      <c r="CG170" s="372">
        <v>0</v>
      </c>
      <c r="CH170" s="372">
        <v>0</v>
      </c>
      <c r="CI170" s="372">
        <v>0</v>
      </c>
      <c r="CJ170" s="372">
        <v>0</v>
      </c>
      <c r="CK170" s="372">
        <v>0</v>
      </c>
      <c r="CL170" s="372">
        <v>0</v>
      </c>
      <c r="CM170" s="372">
        <v>0</v>
      </c>
      <c r="CN170" s="372">
        <v>0</v>
      </c>
      <c r="CO170" s="372">
        <v>0</v>
      </c>
      <c r="CP170" s="372">
        <v>0</v>
      </c>
      <c r="CQ170" s="372">
        <v>0</v>
      </c>
      <c r="CR170" s="372">
        <v>0</v>
      </c>
      <c r="CS170" s="372">
        <v>0</v>
      </c>
      <c r="CT170" s="372">
        <v>0</v>
      </c>
      <c r="CU170" s="372">
        <v>0</v>
      </c>
    </row>
    <row r="171" spans="1:100" ht="15.75" customHeight="1" outlineLevel="2">
      <c r="A171" s="84"/>
      <c r="B171" s="21"/>
      <c r="C171" s="84" t="s">
        <v>100</v>
      </c>
      <c r="D171" s="354"/>
      <c r="E171" s="354"/>
      <c r="F171" s="354">
        <v>5</v>
      </c>
      <c r="G171" s="354">
        <v>5</v>
      </c>
      <c r="H171" s="354">
        <v>5</v>
      </c>
      <c r="I171" s="354">
        <v>5</v>
      </c>
      <c r="J171" s="354">
        <v>5</v>
      </c>
      <c r="K171" s="354">
        <v>5</v>
      </c>
      <c r="L171" s="354">
        <v>5</v>
      </c>
      <c r="M171" s="354">
        <v>5</v>
      </c>
      <c r="N171" s="354">
        <v>5</v>
      </c>
      <c r="O171" s="354">
        <v>5</v>
      </c>
      <c r="P171" s="354">
        <v>5</v>
      </c>
      <c r="Q171" s="354">
        <v>5</v>
      </c>
      <c r="R171" s="354">
        <v>5</v>
      </c>
      <c r="S171" s="354">
        <v>5</v>
      </c>
      <c r="T171" s="354">
        <v>5</v>
      </c>
      <c r="U171" s="354">
        <v>5</v>
      </c>
      <c r="V171" s="354">
        <v>5</v>
      </c>
      <c r="W171" s="354">
        <v>5</v>
      </c>
      <c r="X171" s="354">
        <v>5</v>
      </c>
      <c r="Y171" s="354">
        <v>5</v>
      </c>
      <c r="Z171" s="354">
        <v>5</v>
      </c>
      <c r="AA171" s="354">
        <v>5</v>
      </c>
      <c r="AB171" s="354">
        <v>5</v>
      </c>
      <c r="AC171" s="354">
        <v>5</v>
      </c>
      <c r="AD171" s="354">
        <v>5</v>
      </c>
      <c r="AE171" s="354">
        <v>5</v>
      </c>
      <c r="AF171" s="354">
        <v>5</v>
      </c>
      <c r="AG171" s="354">
        <v>5</v>
      </c>
      <c r="AH171" s="354">
        <v>5</v>
      </c>
      <c r="AI171" s="354">
        <v>5</v>
      </c>
      <c r="AJ171" s="354">
        <v>5</v>
      </c>
      <c r="AK171" s="354">
        <v>5</v>
      </c>
      <c r="AL171" s="354">
        <v>5</v>
      </c>
      <c r="AM171" s="354">
        <v>5</v>
      </c>
      <c r="AN171" s="354">
        <v>5</v>
      </c>
      <c r="AO171" s="354">
        <v>5</v>
      </c>
      <c r="AP171" s="354">
        <v>5</v>
      </c>
      <c r="AQ171" s="354">
        <v>5</v>
      </c>
      <c r="AR171" s="354">
        <v>5</v>
      </c>
      <c r="AS171" s="354">
        <v>5</v>
      </c>
      <c r="AT171" s="354">
        <v>5</v>
      </c>
      <c r="AU171" s="354">
        <v>5</v>
      </c>
      <c r="AV171" s="354">
        <v>5</v>
      </c>
      <c r="AW171" s="354">
        <v>5</v>
      </c>
      <c r="AX171" s="354">
        <v>5</v>
      </c>
      <c r="AY171" s="354">
        <v>5</v>
      </c>
      <c r="AZ171" s="354">
        <v>5</v>
      </c>
      <c r="BA171" s="354">
        <v>5</v>
      </c>
      <c r="BB171" s="354">
        <v>5</v>
      </c>
      <c r="BC171" s="354">
        <v>5</v>
      </c>
      <c r="BD171" s="354">
        <v>5</v>
      </c>
      <c r="BE171" s="354">
        <v>5</v>
      </c>
      <c r="BF171" s="354">
        <v>5</v>
      </c>
      <c r="BG171" s="354">
        <v>5</v>
      </c>
      <c r="BH171" s="354">
        <v>5</v>
      </c>
      <c r="BI171" s="354">
        <v>5</v>
      </c>
      <c r="BJ171" s="354">
        <v>5</v>
      </c>
      <c r="BK171" s="354">
        <v>5</v>
      </c>
      <c r="BL171" s="354">
        <v>5</v>
      </c>
      <c r="BM171" s="354">
        <v>5</v>
      </c>
      <c r="BN171" s="354">
        <v>5</v>
      </c>
      <c r="BO171" s="354">
        <v>5</v>
      </c>
      <c r="BP171" s="354">
        <v>5</v>
      </c>
      <c r="BQ171" s="354">
        <v>5</v>
      </c>
      <c r="BR171" s="354">
        <v>5</v>
      </c>
      <c r="BS171" s="354">
        <v>5</v>
      </c>
      <c r="BT171" s="354">
        <v>5</v>
      </c>
      <c r="BU171" s="354">
        <v>5</v>
      </c>
      <c r="BV171" s="354">
        <v>5</v>
      </c>
      <c r="BW171" s="354">
        <v>5</v>
      </c>
      <c r="BX171" s="354">
        <v>5</v>
      </c>
      <c r="BY171" s="354">
        <v>5</v>
      </c>
      <c r="BZ171" s="354">
        <v>5</v>
      </c>
      <c r="CA171" s="354">
        <v>5</v>
      </c>
      <c r="CB171" s="354">
        <v>5</v>
      </c>
      <c r="CC171" s="354">
        <v>5</v>
      </c>
      <c r="CD171" s="354">
        <v>5</v>
      </c>
      <c r="CE171" s="354">
        <v>5</v>
      </c>
      <c r="CF171" s="354">
        <v>5</v>
      </c>
      <c r="CG171" s="354">
        <v>5</v>
      </c>
      <c r="CH171" s="354">
        <v>5</v>
      </c>
      <c r="CI171" s="354">
        <v>5</v>
      </c>
      <c r="CJ171" s="354">
        <v>5</v>
      </c>
      <c r="CK171" s="354">
        <v>5</v>
      </c>
      <c r="CL171" s="354">
        <v>5</v>
      </c>
      <c r="CM171" s="354">
        <v>5</v>
      </c>
      <c r="CN171" s="354">
        <v>5</v>
      </c>
      <c r="CO171" s="354">
        <v>5</v>
      </c>
      <c r="CP171" s="354">
        <v>5</v>
      </c>
      <c r="CQ171" s="354">
        <v>5</v>
      </c>
      <c r="CR171" s="354">
        <v>5</v>
      </c>
      <c r="CS171" s="354">
        <v>5</v>
      </c>
      <c r="CT171" s="354">
        <v>5</v>
      </c>
      <c r="CU171" s="354">
        <v>5</v>
      </c>
    </row>
    <row r="172" spans="1:100" s="352" customFormat="1" ht="15.75" customHeight="1" outlineLevel="2">
      <c r="A172" s="350"/>
      <c r="B172" s="68"/>
      <c r="C172" s="350" t="s">
        <v>101</v>
      </c>
      <c r="D172" s="374"/>
      <c r="E172" s="374"/>
      <c r="F172" s="374">
        <f>F165*F173</f>
        <v>0</v>
      </c>
      <c r="G172" s="374">
        <f t="shared" ref="G172:BR172" si="108">G165*G173</f>
        <v>0</v>
      </c>
      <c r="H172" s="374">
        <f t="shared" si="108"/>
        <v>0</v>
      </c>
      <c r="I172" s="374">
        <f t="shared" si="108"/>
        <v>0</v>
      </c>
      <c r="J172" s="374">
        <f t="shared" si="108"/>
        <v>0</v>
      </c>
      <c r="K172" s="374">
        <f t="shared" si="108"/>
        <v>0</v>
      </c>
      <c r="L172" s="374">
        <f t="shared" si="108"/>
        <v>0</v>
      </c>
      <c r="M172" s="374">
        <f t="shared" si="108"/>
        <v>0</v>
      </c>
      <c r="N172" s="374">
        <f t="shared" si="108"/>
        <v>0</v>
      </c>
      <c r="O172" s="374">
        <f t="shared" si="108"/>
        <v>0</v>
      </c>
      <c r="P172" s="374">
        <f t="shared" si="108"/>
        <v>0</v>
      </c>
      <c r="Q172" s="374">
        <f t="shared" si="108"/>
        <v>0</v>
      </c>
      <c r="R172" s="374">
        <f t="shared" si="108"/>
        <v>0</v>
      </c>
      <c r="S172" s="374">
        <f t="shared" si="108"/>
        <v>0</v>
      </c>
      <c r="T172" s="374">
        <f t="shared" si="108"/>
        <v>0</v>
      </c>
      <c r="U172" s="374">
        <f t="shared" si="108"/>
        <v>0</v>
      </c>
      <c r="V172" s="374">
        <f t="shared" si="108"/>
        <v>0</v>
      </c>
      <c r="W172" s="374">
        <f t="shared" si="108"/>
        <v>0</v>
      </c>
      <c r="X172" s="374">
        <f t="shared" si="108"/>
        <v>0</v>
      </c>
      <c r="Y172" s="374">
        <f t="shared" si="108"/>
        <v>0</v>
      </c>
      <c r="Z172" s="374">
        <f t="shared" si="108"/>
        <v>0</v>
      </c>
      <c r="AA172" s="374">
        <f t="shared" si="108"/>
        <v>0</v>
      </c>
      <c r="AB172" s="374">
        <f t="shared" si="108"/>
        <v>0</v>
      </c>
      <c r="AC172" s="374">
        <f t="shared" si="108"/>
        <v>0</v>
      </c>
      <c r="AD172" s="374">
        <f t="shared" si="108"/>
        <v>0</v>
      </c>
      <c r="AE172" s="374">
        <f t="shared" si="108"/>
        <v>0</v>
      </c>
      <c r="AF172" s="374">
        <f t="shared" si="108"/>
        <v>0</v>
      </c>
      <c r="AG172" s="374">
        <f t="shared" si="108"/>
        <v>0</v>
      </c>
      <c r="AH172" s="374">
        <f t="shared" si="108"/>
        <v>0</v>
      </c>
      <c r="AI172" s="374">
        <f t="shared" si="108"/>
        <v>0</v>
      </c>
      <c r="AJ172" s="374">
        <f t="shared" si="108"/>
        <v>0</v>
      </c>
      <c r="AK172" s="374">
        <f t="shared" si="108"/>
        <v>0</v>
      </c>
      <c r="AL172" s="374">
        <f t="shared" si="108"/>
        <v>0</v>
      </c>
      <c r="AM172" s="374">
        <f t="shared" si="108"/>
        <v>0</v>
      </c>
      <c r="AN172" s="374">
        <f t="shared" si="108"/>
        <v>9688</v>
      </c>
      <c r="AO172" s="374">
        <f t="shared" si="108"/>
        <v>9688</v>
      </c>
      <c r="AP172" s="374">
        <f t="shared" si="108"/>
        <v>9688</v>
      </c>
      <c r="AQ172" s="374">
        <f t="shared" si="108"/>
        <v>9688</v>
      </c>
      <c r="AR172" s="374">
        <f t="shared" si="108"/>
        <v>9688</v>
      </c>
      <c r="AS172" s="374">
        <f t="shared" si="108"/>
        <v>14532</v>
      </c>
      <c r="AT172" s="374">
        <f t="shared" si="108"/>
        <v>14532</v>
      </c>
      <c r="AU172" s="374">
        <f t="shared" si="108"/>
        <v>14532</v>
      </c>
      <c r="AV172" s="374">
        <f t="shared" si="108"/>
        <v>14532</v>
      </c>
      <c r="AW172" s="374">
        <f t="shared" si="108"/>
        <v>14532</v>
      </c>
      <c r="AX172" s="374">
        <f t="shared" si="108"/>
        <v>14532</v>
      </c>
      <c r="AY172" s="374">
        <f t="shared" si="108"/>
        <v>24220</v>
      </c>
      <c r="AZ172" s="374">
        <f t="shared" si="108"/>
        <v>26642</v>
      </c>
      <c r="BA172" s="374">
        <f t="shared" si="108"/>
        <v>26642</v>
      </c>
      <c r="BB172" s="374">
        <f t="shared" si="108"/>
        <v>33908</v>
      </c>
      <c r="BC172" s="374">
        <f t="shared" si="108"/>
        <v>33908</v>
      </c>
      <c r="BD172" s="374">
        <f t="shared" si="108"/>
        <v>33908</v>
      </c>
      <c r="BE172" s="374">
        <f t="shared" si="108"/>
        <v>53284</v>
      </c>
      <c r="BF172" s="374">
        <f t="shared" si="108"/>
        <v>53284</v>
      </c>
      <c r="BG172" s="374">
        <f t="shared" si="108"/>
        <v>53284</v>
      </c>
      <c r="BH172" s="374">
        <f t="shared" si="108"/>
        <v>72660</v>
      </c>
      <c r="BI172" s="374">
        <f t="shared" si="108"/>
        <v>72660</v>
      </c>
      <c r="BJ172" s="374">
        <f t="shared" si="108"/>
        <v>72660</v>
      </c>
      <c r="BK172" s="374">
        <f t="shared" si="108"/>
        <v>72660</v>
      </c>
      <c r="BL172" s="374">
        <f t="shared" si="108"/>
        <v>77504</v>
      </c>
      <c r="BM172" s="374">
        <f t="shared" si="108"/>
        <v>77504</v>
      </c>
      <c r="BN172" s="374">
        <f t="shared" si="108"/>
        <v>92036</v>
      </c>
      <c r="BO172" s="374">
        <f t="shared" si="108"/>
        <v>92036</v>
      </c>
      <c r="BP172" s="374">
        <f t="shared" si="108"/>
        <v>92036</v>
      </c>
      <c r="BQ172" s="374">
        <f t="shared" si="108"/>
        <v>130788</v>
      </c>
      <c r="BR172" s="374">
        <f t="shared" si="108"/>
        <v>130788</v>
      </c>
      <c r="BS172" s="374">
        <f t="shared" ref="BS172:CU172" si="109">BS165*BS173</f>
        <v>130788</v>
      </c>
      <c r="BT172" s="374">
        <f t="shared" si="109"/>
        <v>169540</v>
      </c>
      <c r="BU172" s="374">
        <f t="shared" si="109"/>
        <v>169540</v>
      </c>
      <c r="BV172" s="374">
        <f t="shared" si="109"/>
        <v>169540</v>
      </c>
      <c r="BW172" s="374">
        <f t="shared" si="109"/>
        <v>169540</v>
      </c>
      <c r="BX172" s="374">
        <f t="shared" si="109"/>
        <v>176806</v>
      </c>
      <c r="BY172" s="374">
        <f t="shared" si="109"/>
        <v>176806</v>
      </c>
      <c r="BZ172" s="374">
        <f t="shared" si="109"/>
        <v>198604</v>
      </c>
      <c r="CA172" s="374">
        <f t="shared" si="109"/>
        <v>198604</v>
      </c>
      <c r="CB172" s="374">
        <f t="shared" si="109"/>
        <v>198604</v>
      </c>
      <c r="CC172" s="374">
        <f t="shared" si="109"/>
        <v>256732</v>
      </c>
      <c r="CD172" s="374">
        <f t="shared" si="109"/>
        <v>256732</v>
      </c>
      <c r="CE172" s="374">
        <f t="shared" si="109"/>
        <v>256732</v>
      </c>
      <c r="CF172" s="374">
        <f t="shared" si="109"/>
        <v>314860</v>
      </c>
      <c r="CG172" s="374">
        <f t="shared" si="109"/>
        <v>314860</v>
      </c>
      <c r="CH172" s="374">
        <f t="shared" si="109"/>
        <v>314860</v>
      </c>
      <c r="CI172" s="374">
        <f t="shared" si="109"/>
        <v>314860</v>
      </c>
      <c r="CJ172" s="374">
        <f t="shared" si="109"/>
        <v>324548</v>
      </c>
      <c r="CK172" s="374">
        <f t="shared" si="109"/>
        <v>324548</v>
      </c>
      <c r="CL172" s="374">
        <f t="shared" si="109"/>
        <v>353612</v>
      </c>
      <c r="CM172" s="374">
        <f t="shared" si="109"/>
        <v>353612</v>
      </c>
      <c r="CN172" s="374">
        <f t="shared" si="109"/>
        <v>353612</v>
      </c>
      <c r="CO172" s="374">
        <f t="shared" si="109"/>
        <v>431116</v>
      </c>
      <c r="CP172" s="374">
        <f t="shared" si="109"/>
        <v>431116</v>
      </c>
      <c r="CQ172" s="374">
        <f t="shared" si="109"/>
        <v>431116</v>
      </c>
      <c r="CR172" s="374">
        <f t="shared" si="109"/>
        <v>508620</v>
      </c>
      <c r="CS172" s="374">
        <f t="shared" si="109"/>
        <v>508620</v>
      </c>
      <c r="CT172" s="374">
        <f t="shared" si="109"/>
        <v>508620</v>
      </c>
      <c r="CU172" s="374">
        <f t="shared" si="109"/>
        <v>508620</v>
      </c>
    </row>
    <row r="173" spans="1:100" ht="15.75" customHeight="1" outlineLevel="2">
      <c r="A173" s="84"/>
      <c r="B173" s="21"/>
      <c r="C173" s="84" t="s">
        <v>102</v>
      </c>
      <c r="D173" s="354"/>
      <c r="E173" s="354"/>
      <c r="F173" s="372">
        <v>0</v>
      </c>
      <c r="G173" s="372">
        <v>0</v>
      </c>
      <c r="H173" s="372">
        <v>0</v>
      </c>
      <c r="I173" s="372">
        <v>0</v>
      </c>
      <c r="J173" s="372">
        <v>0</v>
      </c>
      <c r="K173" s="372">
        <v>0</v>
      </c>
      <c r="L173" s="372">
        <v>0</v>
      </c>
      <c r="M173" s="372">
        <v>0</v>
      </c>
      <c r="N173" s="372">
        <v>0</v>
      </c>
      <c r="O173" s="372">
        <v>0</v>
      </c>
      <c r="P173" s="372">
        <v>0</v>
      </c>
      <c r="Q173" s="372">
        <v>0</v>
      </c>
      <c r="R173" s="372">
        <v>0</v>
      </c>
      <c r="S173" s="372">
        <v>0</v>
      </c>
      <c r="T173" s="372">
        <v>0</v>
      </c>
      <c r="U173" s="372">
        <v>0</v>
      </c>
      <c r="V173" s="372">
        <v>0</v>
      </c>
      <c r="W173" s="372">
        <v>0</v>
      </c>
      <c r="X173" s="372">
        <v>0</v>
      </c>
      <c r="Y173" s="372">
        <v>0</v>
      </c>
      <c r="Z173" s="372">
        <v>0</v>
      </c>
      <c r="AA173" s="372">
        <v>0</v>
      </c>
      <c r="AB173" s="372">
        <v>0</v>
      </c>
      <c r="AC173" s="372">
        <v>0</v>
      </c>
      <c r="AD173" s="372">
        <v>0</v>
      </c>
      <c r="AE173" s="372">
        <v>0</v>
      </c>
      <c r="AF173" s="372">
        <v>0</v>
      </c>
      <c r="AG173" s="372">
        <v>0</v>
      </c>
      <c r="AH173" s="372">
        <v>0</v>
      </c>
      <c r="AI173" s="372">
        <v>0</v>
      </c>
      <c r="AJ173" s="372">
        <v>0</v>
      </c>
      <c r="AK173" s="372">
        <v>0</v>
      </c>
      <c r="AL173" s="372">
        <v>0</v>
      </c>
      <c r="AM173" s="372">
        <v>0</v>
      </c>
      <c r="AN173" s="372">
        <f t="shared" ref="AN173:CT173" si="110">1-AN170-AN168</f>
        <v>1</v>
      </c>
      <c r="AO173" s="372">
        <f t="shared" si="110"/>
        <v>1</v>
      </c>
      <c r="AP173" s="372">
        <f t="shared" si="110"/>
        <v>1</v>
      </c>
      <c r="AQ173" s="372">
        <f t="shared" si="110"/>
        <v>1</v>
      </c>
      <c r="AR173" s="372">
        <f t="shared" si="110"/>
        <v>1</v>
      </c>
      <c r="AS173" s="372">
        <f t="shared" si="110"/>
        <v>1</v>
      </c>
      <c r="AT173" s="372">
        <f t="shared" si="110"/>
        <v>1</v>
      </c>
      <c r="AU173" s="372">
        <f t="shared" si="110"/>
        <v>1</v>
      </c>
      <c r="AV173" s="372">
        <f t="shared" si="110"/>
        <v>1</v>
      </c>
      <c r="AW173" s="372">
        <f t="shared" si="110"/>
        <v>1</v>
      </c>
      <c r="AX173" s="372">
        <f t="shared" si="110"/>
        <v>1</v>
      </c>
      <c r="AY173" s="372">
        <f t="shared" si="110"/>
        <v>1</v>
      </c>
      <c r="AZ173" s="372">
        <f t="shared" si="110"/>
        <v>1</v>
      </c>
      <c r="BA173" s="372">
        <f t="shared" si="110"/>
        <v>1</v>
      </c>
      <c r="BB173" s="372">
        <f t="shared" si="110"/>
        <v>1</v>
      </c>
      <c r="BC173" s="372">
        <f t="shared" si="110"/>
        <v>1</v>
      </c>
      <c r="BD173" s="372">
        <f t="shared" si="110"/>
        <v>1</v>
      </c>
      <c r="BE173" s="372">
        <f t="shared" si="110"/>
        <v>1</v>
      </c>
      <c r="BF173" s="372">
        <f t="shared" si="110"/>
        <v>1</v>
      </c>
      <c r="BG173" s="372">
        <f t="shared" si="110"/>
        <v>1</v>
      </c>
      <c r="BH173" s="372">
        <f t="shared" si="110"/>
        <v>1</v>
      </c>
      <c r="BI173" s="372">
        <f t="shared" si="110"/>
        <v>1</v>
      </c>
      <c r="BJ173" s="372">
        <f t="shared" si="110"/>
        <v>1</v>
      </c>
      <c r="BK173" s="372">
        <f t="shared" si="110"/>
        <v>1</v>
      </c>
      <c r="BL173" s="372">
        <f t="shared" si="110"/>
        <v>1</v>
      </c>
      <c r="BM173" s="372">
        <f t="shared" si="110"/>
        <v>1</v>
      </c>
      <c r="BN173" s="372">
        <f t="shared" si="110"/>
        <v>1</v>
      </c>
      <c r="BO173" s="372">
        <f t="shared" si="110"/>
        <v>1</v>
      </c>
      <c r="BP173" s="372">
        <f t="shared" si="110"/>
        <v>1</v>
      </c>
      <c r="BQ173" s="372">
        <f t="shared" si="110"/>
        <v>1</v>
      </c>
      <c r="BR173" s="372">
        <f t="shared" si="110"/>
        <v>1</v>
      </c>
      <c r="BS173" s="372">
        <f t="shared" si="110"/>
        <v>1</v>
      </c>
      <c r="BT173" s="372">
        <f t="shared" si="110"/>
        <v>1</v>
      </c>
      <c r="BU173" s="372">
        <f t="shared" si="110"/>
        <v>1</v>
      </c>
      <c r="BV173" s="372">
        <f t="shared" si="110"/>
        <v>1</v>
      </c>
      <c r="BW173" s="372">
        <f t="shared" si="110"/>
        <v>1</v>
      </c>
      <c r="BX173" s="372">
        <f t="shared" si="110"/>
        <v>1</v>
      </c>
      <c r="BY173" s="372">
        <f t="shared" si="110"/>
        <v>1</v>
      </c>
      <c r="BZ173" s="372">
        <f t="shared" si="110"/>
        <v>1</v>
      </c>
      <c r="CA173" s="372">
        <f t="shared" si="110"/>
        <v>1</v>
      </c>
      <c r="CB173" s="372">
        <f t="shared" si="110"/>
        <v>1</v>
      </c>
      <c r="CC173" s="372">
        <f t="shared" si="110"/>
        <v>1</v>
      </c>
      <c r="CD173" s="372">
        <f t="shared" si="110"/>
        <v>1</v>
      </c>
      <c r="CE173" s="372">
        <f t="shared" si="110"/>
        <v>1</v>
      </c>
      <c r="CF173" s="372">
        <f t="shared" si="110"/>
        <v>1</v>
      </c>
      <c r="CG173" s="372">
        <f t="shared" si="110"/>
        <v>1</v>
      </c>
      <c r="CH173" s="372">
        <f t="shared" si="110"/>
        <v>1</v>
      </c>
      <c r="CI173" s="372">
        <f t="shared" si="110"/>
        <v>1</v>
      </c>
      <c r="CJ173" s="372">
        <f t="shared" si="110"/>
        <v>1</v>
      </c>
      <c r="CK173" s="372">
        <f t="shared" si="110"/>
        <v>1</v>
      </c>
      <c r="CL173" s="372">
        <f t="shared" si="110"/>
        <v>1</v>
      </c>
      <c r="CM173" s="372">
        <f t="shared" si="110"/>
        <v>1</v>
      </c>
      <c r="CN173" s="372">
        <f t="shared" si="110"/>
        <v>1</v>
      </c>
      <c r="CO173" s="372">
        <f t="shared" si="110"/>
        <v>1</v>
      </c>
      <c r="CP173" s="372">
        <f t="shared" si="110"/>
        <v>1</v>
      </c>
      <c r="CQ173" s="372">
        <f t="shared" si="110"/>
        <v>1</v>
      </c>
      <c r="CR173" s="372">
        <f t="shared" si="110"/>
        <v>1</v>
      </c>
      <c r="CS173" s="372">
        <f t="shared" si="110"/>
        <v>1</v>
      </c>
      <c r="CT173" s="372">
        <f t="shared" si="110"/>
        <v>1</v>
      </c>
      <c r="CU173" s="372">
        <f>1-CU170-CU168</f>
        <v>1</v>
      </c>
    </row>
    <row r="174" spans="1:100" ht="15.75" customHeight="1" outlineLevel="2">
      <c r="A174" s="84"/>
      <c r="B174" s="21"/>
      <c r="C174" s="84" t="s">
        <v>100</v>
      </c>
      <c r="D174" s="354"/>
      <c r="E174" s="354"/>
      <c r="F174" s="354">
        <v>1.2</v>
      </c>
      <c r="G174" s="354">
        <v>1.2</v>
      </c>
      <c r="H174" s="354">
        <v>1.2</v>
      </c>
      <c r="I174" s="354">
        <v>1.2</v>
      </c>
      <c r="J174" s="354">
        <v>1.2</v>
      </c>
      <c r="K174" s="354">
        <v>1.2</v>
      </c>
      <c r="L174" s="354">
        <v>1.2</v>
      </c>
      <c r="M174" s="354">
        <v>1.2</v>
      </c>
      <c r="N174" s="354">
        <v>1.2</v>
      </c>
      <c r="O174" s="354">
        <v>1.2</v>
      </c>
      <c r="P174" s="354">
        <v>1.2</v>
      </c>
      <c r="Q174" s="354">
        <v>1.2</v>
      </c>
      <c r="R174" s="354">
        <v>1.2</v>
      </c>
      <c r="S174" s="354">
        <v>1.2</v>
      </c>
      <c r="T174" s="354">
        <v>1.2</v>
      </c>
      <c r="U174" s="354">
        <v>1.2</v>
      </c>
      <c r="V174" s="354">
        <v>1.2</v>
      </c>
      <c r="W174" s="354">
        <v>1.2</v>
      </c>
      <c r="X174" s="354">
        <v>1.2</v>
      </c>
      <c r="Y174" s="354">
        <v>1.2</v>
      </c>
      <c r="Z174" s="354">
        <v>1.2</v>
      </c>
      <c r="AA174" s="354">
        <v>1.2</v>
      </c>
      <c r="AB174" s="354">
        <v>1.2</v>
      </c>
      <c r="AC174" s="354">
        <v>1.2</v>
      </c>
      <c r="AD174" s="354">
        <v>1.2</v>
      </c>
      <c r="AE174" s="354">
        <v>1.2</v>
      </c>
      <c r="AF174" s="354">
        <v>1.2</v>
      </c>
      <c r="AG174" s="354">
        <v>1.2</v>
      </c>
      <c r="AH174" s="354">
        <v>1.2</v>
      </c>
      <c r="AI174" s="354">
        <v>1.2</v>
      </c>
      <c r="AJ174" s="354">
        <v>1.2</v>
      </c>
      <c r="AK174" s="354">
        <v>1.2</v>
      </c>
      <c r="AL174" s="354">
        <v>1.2</v>
      </c>
      <c r="AM174" s="354">
        <v>1.2</v>
      </c>
      <c r="AN174" s="354">
        <v>1.2</v>
      </c>
      <c r="AO174" s="354">
        <v>1.2</v>
      </c>
      <c r="AP174" s="354">
        <v>1.2</v>
      </c>
      <c r="AQ174" s="354">
        <v>1.2</v>
      </c>
      <c r="AR174" s="354">
        <v>1.2</v>
      </c>
      <c r="AS174" s="354">
        <v>1.2</v>
      </c>
      <c r="AT174" s="354">
        <v>1.2</v>
      </c>
      <c r="AU174" s="354">
        <v>1.2</v>
      </c>
      <c r="AV174" s="354">
        <v>1.2</v>
      </c>
      <c r="AW174" s="354">
        <v>1.2</v>
      </c>
      <c r="AX174" s="354">
        <v>1.2</v>
      </c>
      <c r="AY174" s="354">
        <v>1.2</v>
      </c>
      <c r="AZ174" s="354">
        <v>1.2</v>
      </c>
      <c r="BA174" s="354">
        <v>1.2</v>
      </c>
      <c r="BB174" s="354">
        <v>1.2</v>
      </c>
      <c r="BC174" s="354">
        <v>1.2</v>
      </c>
      <c r="BD174" s="354">
        <v>1.2</v>
      </c>
      <c r="BE174" s="354">
        <v>1.2</v>
      </c>
      <c r="BF174" s="354">
        <v>1.2</v>
      </c>
      <c r="BG174" s="354">
        <v>1.2</v>
      </c>
      <c r="BH174" s="354">
        <v>1.2</v>
      </c>
      <c r="BI174" s="354">
        <v>1.2</v>
      </c>
      <c r="BJ174" s="354">
        <v>1.2</v>
      </c>
      <c r="BK174" s="354">
        <v>1.2</v>
      </c>
      <c r="BL174" s="354">
        <v>1.2</v>
      </c>
      <c r="BM174" s="354">
        <v>1.2</v>
      </c>
      <c r="BN174" s="354">
        <v>1.2</v>
      </c>
      <c r="BO174" s="354">
        <v>1.2</v>
      </c>
      <c r="BP174" s="354">
        <v>1.2</v>
      </c>
      <c r="BQ174" s="354">
        <v>1.2</v>
      </c>
      <c r="BR174" s="354">
        <v>1.2</v>
      </c>
      <c r="BS174" s="354">
        <v>1.2</v>
      </c>
      <c r="BT174" s="354">
        <v>1.2</v>
      </c>
      <c r="BU174" s="354">
        <v>1.2</v>
      </c>
      <c r="BV174" s="354">
        <v>1.2</v>
      </c>
      <c r="BW174" s="354">
        <v>1.2</v>
      </c>
      <c r="BX174" s="354">
        <v>1.2</v>
      </c>
      <c r="BY174" s="354">
        <v>1.2</v>
      </c>
      <c r="BZ174" s="354">
        <v>1.2</v>
      </c>
      <c r="CA174" s="354">
        <v>1.2</v>
      </c>
      <c r="CB174" s="354">
        <v>1.2</v>
      </c>
      <c r="CC174" s="354">
        <v>1.2</v>
      </c>
      <c r="CD174" s="354">
        <v>1.2</v>
      </c>
      <c r="CE174" s="354">
        <v>1.2</v>
      </c>
      <c r="CF174" s="354">
        <v>1.2</v>
      </c>
      <c r="CG174" s="354">
        <v>1.2</v>
      </c>
      <c r="CH174" s="354">
        <v>1.2</v>
      </c>
      <c r="CI174" s="354">
        <v>1.2</v>
      </c>
      <c r="CJ174" s="354">
        <v>1.2</v>
      </c>
      <c r="CK174" s="354">
        <v>1.2</v>
      </c>
      <c r="CL174" s="354">
        <v>1.2</v>
      </c>
      <c r="CM174" s="354">
        <v>1.2</v>
      </c>
      <c r="CN174" s="354">
        <v>1.2</v>
      </c>
      <c r="CO174" s="354">
        <v>1.2</v>
      </c>
      <c r="CP174" s="354">
        <v>1.2</v>
      </c>
      <c r="CQ174" s="354">
        <v>1.2</v>
      </c>
      <c r="CR174" s="354">
        <v>1.2</v>
      </c>
      <c r="CS174" s="354">
        <v>1.2</v>
      </c>
      <c r="CT174" s="354">
        <v>1.2</v>
      </c>
      <c r="CU174" s="354">
        <v>1.2</v>
      </c>
    </row>
    <row r="175" spans="1:100" ht="15.75" customHeight="1" outlineLevel="1" thickBot="1">
      <c r="A175" s="84"/>
      <c r="B175" s="21"/>
      <c r="C175" s="85"/>
      <c r="D175" s="29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6"/>
      <c r="Q175" s="56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</row>
    <row r="176" spans="1:100" ht="15.75" customHeight="1" outlineLevel="1">
      <c r="A176" s="84"/>
      <c r="B176" s="21"/>
      <c r="C176" s="29"/>
      <c r="D176" s="29"/>
      <c r="E176" s="29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</row>
    <row r="177" spans="1:100" ht="15.75" customHeight="1" outlineLevel="1">
      <c r="A177" s="84"/>
      <c r="B177" s="30">
        <v>3</v>
      </c>
      <c r="C177" s="31" t="s">
        <v>103</v>
      </c>
      <c r="D177" s="355">
        <f t="shared" ref="D177:BO177" si="111">D178+D185</f>
        <v>0</v>
      </c>
      <c r="E177" s="355">
        <f t="shared" si="111"/>
        <v>0</v>
      </c>
      <c r="F177" s="355">
        <f t="shared" si="111"/>
        <v>0</v>
      </c>
      <c r="G177" s="355">
        <f t="shared" si="111"/>
        <v>0</v>
      </c>
      <c r="H177" s="355">
        <f t="shared" si="111"/>
        <v>0</v>
      </c>
      <c r="I177" s="355">
        <f t="shared" si="111"/>
        <v>0</v>
      </c>
      <c r="J177" s="355">
        <f t="shared" si="111"/>
        <v>0</v>
      </c>
      <c r="K177" s="355">
        <f t="shared" si="111"/>
        <v>0</v>
      </c>
      <c r="L177" s="355">
        <f t="shared" si="111"/>
        <v>0</v>
      </c>
      <c r="M177" s="355">
        <f t="shared" si="111"/>
        <v>0</v>
      </c>
      <c r="N177" s="355">
        <f t="shared" si="111"/>
        <v>0</v>
      </c>
      <c r="O177" s="355">
        <f t="shared" si="111"/>
        <v>0</v>
      </c>
      <c r="P177" s="355">
        <f t="shared" si="111"/>
        <v>0</v>
      </c>
      <c r="Q177" s="355">
        <f t="shared" si="111"/>
        <v>0</v>
      </c>
      <c r="R177" s="355">
        <f t="shared" si="111"/>
        <v>0</v>
      </c>
      <c r="S177" s="355">
        <f t="shared" si="111"/>
        <v>0</v>
      </c>
      <c r="T177" s="355">
        <f t="shared" si="111"/>
        <v>0</v>
      </c>
      <c r="U177" s="355">
        <f t="shared" si="111"/>
        <v>0</v>
      </c>
      <c r="V177" s="355">
        <f t="shared" si="111"/>
        <v>0</v>
      </c>
      <c r="W177" s="355">
        <f t="shared" si="111"/>
        <v>0</v>
      </c>
      <c r="X177" s="355">
        <f t="shared" si="111"/>
        <v>0</v>
      </c>
      <c r="Y177" s="355">
        <f t="shared" si="111"/>
        <v>0</v>
      </c>
      <c r="Z177" s="355">
        <f t="shared" si="111"/>
        <v>0</v>
      </c>
      <c r="AA177" s="355">
        <f t="shared" si="111"/>
        <v>0</v>
      </c>
      <c r="AB177" s="355">
        <f t="shared" si="111"/>
        <v>132500</v>
      </c>
      <c r="AC177" s="355">
        <f t="shared" si="111"/>
        <v>2500</v>
      </c>
      <c r="AD177" s="355">
        <f t="shared" si="111"/>
        <v>2500</v>
      </c>
      <c r="AE177" s="355">
        <f t="shared" si="111"/>
        <v>2500</v>
      </c>
      <c r="AF177" s="355">
        <f t="shared" si="111"/>
        <v>2500</v>
      </c>
      <c r="AG177" s="355">
        <f t="shared" si="111"/>
        <v>135000</v>
      </c>
      <c r="AH177" s="355">
        <f t="shared" si="111"/>
        <v>5000</v>
      </c>
      <c r="AI177" s="355">
        <f t="shared" si="111"/>
        <v>5000</v>
      </c>
      <c r="AJ177" s="355">
        <f t="shared" si="111"/>
        <v>5000</v>
      </c>
      <c r="AK177" s="355">
        <f t="shared" si="111"/>
        <v>5000</v>
      </c>
      <c r="AL177" s="355">
        <f t="shared" si="111"/>
        <v>5000</v>
      </c>
      <c r="AM177" s="355">
        <f t="shared" si="111"/>
        <v>137500</v>
      </c>
      <c r="AN177" s="355">
        <f t="shared" si="111"/>
        <v>7500</v>
      </c>
      <c r="AO177" s="355">
        <f t="shared" si="111"/>
        <v>7500</v>
      </c>
      <c r="AP177" s="355">
        <f t="shared" si="111"/>
        <v>7500</v>
      </c>
      <c r="AQ177" s="355">
        <f t="shared" si="111"/>
        <v>7500</v>
      </c>
      <c r="AR177" s="355">
        <f t="shared" si="111"/>
        <v>7500</v>
      </c>
      <c r="AS177" s="355">
        <f t="shared" si="111"/>
        <v>255780</v>
      </c>
      <c r="AT177" s="355">
        <f t="shared" si="111"/>
        <v>12180</v>
      </c>
      <c r="AU177" s="355">
        <f t="shared" si="111"/>
        <v>12180</v>
      </c>
      <c r="AV177" s="355">
        <f t="shared" si="111"/>
        <v>12180</v>
      </c>
      <c r="AW177" s="355">
        <f t="shared" si="111"/>
        <v>12180</v>
      </c>
      <c r="AX177" s="355">
        <f t="shared" si="111"/>
        <v>12180</v>
      </c>
      <c r="AY177" s="355">
        <f t="shared" si="111"/>
        <v>458680</v>
      </c>
      <c r="AZ177" s="355">
        <f t="shared" si="111"/>
        <v>151180</v>
      </c>
      <c r="BA177" s="355">
        <f t="shared" si="111"/>
        <v>21180</v>
      </c>
      <c r="BB177" s="355">
        <f t="shared" si="111"/>
        <v>393600</v>
      </c>
      <c r="BC177" s="355">
        <f t="shared" si="111"/>
        <v>28200</v>
      </c>
      <c r="BD177" s="355">
        <f t="shared" si="111"/>
        <v>28200</v>
      </c>
      <c r="BE177" s="355">
        <f t="shared" si="111"/>
        <v>921200</v>
      </c>
      <c r="BF177" s="355">
        <f t="shared" si="111"/>
        <v>41200</v>
      </c>
      <c r="BG177" s="355">
        <f t="shared" si="111"/>
        <v>41200</v>
      </c>
      <c r="BH177" s="355">
        <f t="shared" si="111"/>
        <v>934200</v>
      </c>
      <c r="BI177" s="355">
        <f t="shared" si="111"/>
        <v>54200</v>
      </c>
      <c r="BJ177" s="355">
        <f t="shared" si="111"/>
        <v>54200</v>
      </c>
      <c r="BK177" s="355">
        <f t="shared" si="111"/>
        <v>54200</v>
      </c>
      <c r="BL177" s="355">
        <f t="shared" si="111"/>
        <v>319200</v>
      </c>
      <c r="BM177" s="355">
        <f t="shared" si="111"/>
        <v>59200</v>
      </c>
      <c r="BN177" s="355">
        <f t="shared" si="111"/>
        <v>804040</v>
      </c>
      <c r="BO177" s="355">
        <f t="shared" si="111"/>
        <v>73240</v>
      </c>
      <c r="BP177" s="355">
        <f t="shared" ref="BP177:BR177" si="112">BP178+BP185</f>
        <v>73240</v>
      </c>
      <c r="BQ177" s="355">
        <f t="shared" si="112"/>
        <v>1859240</v>
      </c>
      <c r="BR177" s="355">
        <f t="shared" si="112"/>
        <v>99240</v>
      </c>
      <c r="BS177" s="355">
        <f>BS178+BS185</f>
        <v>99240</v>
      </c>
      <c r="BT177" s="355">
        <f t="shared" ref="BT177:CU177" si="113">BT178+BT185</f>
        <v>1885240</v>
      </c>
      <c r="BU177" s="355">
        <f t="shared" si="113"/>
        <v>125240</v>
      </c>
      <c r="BV177" s="355">
        <f t="shared" si="113"/>
        <v>125240</v>
      </c>
      <c r="BW177" s="355">
        <f t="shared" si="113"/>
        <v>125240</v>
      </c>
      <c r="BX177" s="355">
        <f t="shared" si="113"/>
        <v>492740</v>
      </c>
      <c r="BY177" s="355">
        <f t="shared" si="113"/>
        <v>132740</v>
      </c>
      <c r="BZ177" s="355">
        <f t="shared" si="113"/>
        <v>1250000</v>
      </c>
      <c r="CA177" s="355">
        <f t="shared" si="113"/>
        <v>153800</v>
      </c>
      <c r="CB177" s="355">
        <f t="shared" si="113"/>
        <v>153800</v>
      </c>
      <c r="CC177" s="355">
        <f t="shared" si="113"/>
        <v>2832800</v>
      </c>
      <c r="CD177" s="355">
        <f t="shared" si="113"/>
        <v>192800</v>
      </c>
      <c r="CE177" s="355">
        <f t="shared" si="113"/>
        <v>192800</v>
      </c>
      <c r="CF177" s="355">
        <f t="shared" si="113"/>
        <v>2871800</v>
      </c>
      <c r="CG177" s="355">
        <f t="shared" si="113"/>
        <v>231800</v>
      </c>
      <c r="CH177" s="355">
        <f t="shared" si="113"/>
        <v>231800</v>
      </c>
      <c r="CI177" s="355">
        <f t="shared" si="113"/>
        <v>231800</v>
      </c>
      <c r="CJ177" s="355">
        <f t="shared" si="113"/>
        <v>721800</v>
      </c>
      <c r="CK177" s="355">
        <f t="shared" si="113"/>
        <v>241800</v>
      </c>
      <c r="CL177" s="355">
        <f t="shared" si="113"/>
        <v>1731480</v>
      </c>
      <c r="CM177" s="355">
        <f t="shared" si="113"/>
        <v>269880</v>
      </c>
      <c r="CN177" s="355">
        <f t="shared" si="113"/>
        <v>269880</v>
      </c>
      <c r="CO177" s="355">
        <f t="shared" si="113"/>
        <v>3841880</v>
      </c>
      <c r="CP177" s="355">
        <f t="shared" si="113"/>
        <v>321880</v>
      </c>
      <c r="CQ177" s="355">
        <f t="shared" si="113"/>
        <v>321880</v>
      </c>
      <c r="CR177" s="355">
        <f t="shared" si="113"/>
        <v>3893880</v>
      </c>
      <c r="CS177" s="355">
        <f t="shared" si="113"/>
        <v>373880</v>
      </c>
      <c r="CT177" s="355">
        <f t="shared" si="113"/>
        <v>373880</v>
      </c>
      <c r="CU177" s="355">
        <f t="shared" si="113"/>
        <v>373880</v>
      </c>
    </row>
    <row r="178" spans="1:100" ht="12.75" customHeight="1" outlineLevel="1">
      <c r="A178" s="84"/>
      <c r="B178" s="28"/>
      <c r="C178" s="85" t="s">
        <v>104</v>
      </c>
      <c r="D178" s="34">
        <f t="shared" ref="D178:BO178" si="114">D179*D180+D181*D182+D183*D184</f>
        <v>0</v>
      </c>
      <c r="E178" s="34">
        <f t="shared" si="114"/>
        <v>0</v>
      </c>
      <c r="F178" s="34">
        <f t="shared" si="114"/>
        <v>0</v>
      </c>
      <c r="G178" s="34">
        <f t="shared" si="114"/>
        <v>0</v>
      </c>
      <c r="H178" s="34">
        <f t="shared" si="114"/>
        <v>0</v>
      </c>
      <c r="I178" s="34">
        <f t="shared" si="114"/>
        <v>0</v>
      </c>
      <c r="J178" s="34">
        <f t="shared" si="114"/>
        <v>0</v>
      </c>
      <c r="K178" s="34">
        <f t="shared" si="114"/>
        <v>0</v>
      </c>
      <c r="L178" s="34">
        <f t="shared" si="114"/>
        <v>0</v>
      </c>
      <c r="M178" s="34">
        <f t="shared" si="114"/>
        <v>0</v>
      </c>
      <c r="N178" s="34">
        <f t="shared" si="114"/>
        <v>0</v>
      </c>
      <c r="O178" s="34">
        <f t="shared" si="114"/>
        <v>0</v>
      </c>
      <c r="P178" s="34">
        <f t="shared" si="114"/>
        <v>0</v>
      </c>
      <c r="Q178" s="34">
        <f t="shared" si="114"/>
        <v>0</v>
      </c>
      <c r="R178" s="34">
        <f t="shared" si="114"/>
        <v>0</v>
      </c>
      <c r="S178" s="34">
        <f t="shared" si="114"/>
        <v>0</v>
      </c>
      <c r="T178" s="34">
        <f t="shared" si="114"/>
        <v>0</v>
      </c>
      <c r="U178" s="34">
        <f t="shared" si="114"/>
        <v>0</v>
      </c>
      <c r="V178" s="34">
        <f t="shared" si="114"/>
        <v>0</v>
      </c>
      <c r="W178" s="34">
        <f t="shared" si="114"/>
        <v>0</v>
      </c>
      <c r="X178" s="34">
        <f t="shared" si="114"/>
        <v>0</v>
      </c>
      <c r="Y178" s="34">
        <f t="shared" si="114"/>
        <v>0</v>
      </c>
      <c r="Z178" s="34">
        <f t="shared" si="114"/>
        <v>0</v>
      </c>
      <c r="AA178" s="34">
        <f t="shared" si="114"/>
        <v>0</v>
      </c>
      <c r="AB178" s="34">
        <f t="shared" si="114"/>
        <v>130000</v>
      </c>
      <c r="AC178" s="34">
        <f t="shared" si="114"/>
        <v>0</v>
      </c>
      <c r="AD178" s="34">
        <f t="shared" si="114"/>
        <v>0</v>
      </c>
      <c r="AE178" s="34">
        <f t="shared" si="114"/>
        <v>0</v>
      </c>
      <c r="AF178" s="34">
        <f t="shared" si="114"/>
        <v>0</v>
      </c>
      <c r="AG178" s="34">
        <f t="shared" si="114"/>
        <v>130000</v>
      </c>
      <c r="AH178" s="34">
        <f t="shared" si="114"/>
        <v>0</v>
      </c>
      <c r="AI178" s="34">
        <f t="shared" si="114"/>
        <v>0</v>
      </c>
      <c r="AJ178" s="34">
        <f t="shared" si="114"/>
        <v>0</v>
      </c>
      <c r="AK178" s="34">
        <f t="shared" si="114"/>
        <v>0</v>
      </c>
      <c r="AL178" s="34">
        <f t="shared" si="114"/>
        <v>0</v>
      </c>
      <c r="AM178" s="34">
        <f t="shared" si="114"/>
        <v>130000</v>
      </c>
      <c r="AN178" s="34">
        <f t="shared" si="114"/>
        <v>0</v>
      </c>
      <c r="AO178" s="34">
        <f t="shared" si="114"/>
        <v>0</v>
      </c>
      <c r="AP178" s="34">
        <f t="shared" si="114"/>
        <v>0</v>
      </c>
      <c r="AQ178" s="34">
        <f t="shared" si="114"/>
        <v>0</v>
      </c>
      <c r="AR178" s="34">
        <f t="shared" si="114"/>
        <v>0</v>
      </c>
      <c r="AS178" s="34">
        <f t="shared" si="114"/>
        <v>240000</v>
      </c>
      <c r="AT178" s="34">
        <f t="shared" si="114"/>
        <v>0</v>
      </c>
      <c r="AU178" s="34">
        <f t="shared" si="114"/>
        <v>0</v>
      </c>
      <c r="AV178" s="34">
        <f t="shared" si="114"/>
        <v>0</v>
      </c>
      <c r="AW178" s="34">
        <f t="shared" si="114"/>
        <v>0</v>
      </c>
      <c r="AX178" s="34">
        <f t="shared" si="114"/>
        <v>0</v>
      </c>
      <c r="AY178" s="34">
        <f t="shared" si="114"/>
        <v>440000</v>
      </c>
      <c r="AZ178" s="34">
        <f t="shared" si="114"/>
        <v>130000</v>
      </c>
      <c r="BA178" s="34">
        <f t="shared" si="114"/>
        <v>0</v>
      </c>
      <c r="BB178" s="34">
        <f t="shared" si="114"/>
        <v>360000</v>
      </c>
      <c r="BC178" s="34">
        <f t="shared" si="114"/>
        <v>0</v>
      </c>
      <c r="BD178" s="34">
        <f t="shared" si="114"/>
        <v>0</v>
      </c>
      <c r="BE178" s="34">
        <f t="shared" si="114"/>
        <v>880000</v>
      </c>
      <c r="BF178" s="34">
        <f t="shared" si="114"/>
        <v>0</v>
      </c>
      <c r="BG178" s="34">
        <f t="shared" si="114"/>
        <v>0</v>
      </c>
      <c r="BH178" s="34">
        <f t="shared" si="114"/>
        <v>880000</v>
      </c>
      <c r="BI178" s="34">
        <f t="shared" si="114"/>
        <v>0</v>
      </c>
      <c r="BJ178" s="34">
        <f t="shared" si="114"/>
        <v>0</v>
      </c>
      <c r="BK178" s="34">
        <f t="shared" si="114"/>
        <v>0</v>
      </c>
      <c r="BL178" s="34">
        <f t="shared" si="114"/>
        <v>260000</v>
      </c>
      <c r="BM178" s="34">
        <f t="shared" si="114"/>
        <v>0</v>
      </c>
      <c r="BN178" s="34">
        <f t="shared" si="114"/>
        <v>720000</v>
      </c>
      <c r="BO178" s="34">
        <f t="shared" si="114"/>
        <v>0</v>
      </c>
      <c r="BP178" s="34">
        <f t="shared" ref="BP178:CT178" si="115">BP179*BP180+BP181*BP182+BP183*BP184</f>
        <v>0</v>
      </c>
      <c r="BQ178" s="34">
        <f t="shared" si="115"/>
        <v>1760000</v>
      </c>
      <c r="BR178" s="34">
        <f t="shared" si="115"/>
        <v>0</v>
      </c>
      <c r="BS178" s="34">
        <f t="shared" si="115"/>
        <v>0</v>
      </c>
      <c r="BT178" s="34">
        <f t="shared" si="115"/>
        <v>1760000</v>
      </c>
      <c r="BU178" s="34">
        <f t="shared" si="115"/>
        <v>0</v>
      </c>
      <c r="BV178" s="34">
        <f t="shared" si="115"/>
        <v>0</v>
      </c>
      <c r="BW178" s="34">
        <f t="shared" si="115"/>
        <v>0</v>
      </c>
      <c r="BX178" s="34">
        <f t="shared" si="115"/>
        <v>360000</v>
      </c>
      <c r="BY178" s="34">
        <f t="shared" si="115"/>
        <v>0</v>
      </c>
      <c r="BZ178" s="34">
        <f t="shared" si="115"/>
        <v>1080000</v>
      </c>
      <c r="CA178" s="34">
        <f t="shared" si="115"/>
        <v>0</v>
      </c>
      <c r="CB178" s="34">
        <f t="shared" si="115"/>
        <v>0</v>
      </c>
      <c r="CC178" s="34">
        <f t="shared" si="115"/>
        <v>2640000</v>
      </c>
      <c r="CD178" s="34">
        <f t="shared" si="115"/>
        <v>0</v>
      </c>
      <c r="CE178" s="34">
        <f t="shared" si="115"/>
        <v>0</v>
      </c>
      <c r="CF178" s="34">
        <f t="shared" si="115"/>
        <v>2640000</v>
      </c>
      <c r="CG178" s="34">
        <f t="shared" si="115"/>
        <v>0</v>
      </c>
      <c r="CH178" s="34">
        <f t="shared" si="115"/>
        <v>0</v>
      </c>
      <c r="CI178" s="34">
        <f t="shared" si="115"/>
        <v>0</v>
      </c>
      <c r="CJ178" s="34">
        <f t="shared" si="115"/>
        <v>480000</v>
      </c>
      <c r="CK178" s="34">
        <f t="shared" si="115"/>
        <v>0</v>
      </c>
      <c r="CL178" s="34">
        <f t="shared" si="115"/>
        <v>1440000</v>
      </c>
      <c r="CM178" s="34">
        <f t="shared" si="115"/>
        <v>0</v>
      </c>
      <c r="CN178" s="34">
        <f t="shared" si="115"/>
        <v>0</v>
      </c>
      <c r="CO178" s="34">
        <f t="shared" si="115"/>
        <v>3520000</v>
      </c>
      <c r="CP178" s="34">
        <f t="shared" si="115"/>
        <v>0</v>
      </c>
      <c r="CQ178" s="34">
        <f t="shared" si="115"/>
        <v>0</v>
      </c>
      <c r="CR178" s="34">
        <f t="shared" si="115"/>
        <v>3520000</v>
      </c>
      <c r="CS178" s="34">
        <f t="shared" si="115"/>
        <v>0</v>
      </c>
      <c r="CT178" s="34">
        <f t="shared" si="115"/>
        <v>0</v>
      </c>
      <c r="CU178" s="34">
        <f>CU179*CU180+CU181*CU182+CU183*CU184</f>
        <v>0</v>
      </c>
    </row>
    <row r="179" spans="1:100" ht="15.75" customHeight="1" outlineLevel="2">
      <c r="A179" s="84"/>
      <c r="B179" s="28"/>
      <c r="C179" s="84" t="s">
        <v>105</v>
      </c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>
        <v>1</v>
      </c>
      <c r="AC179" s="60"/>
      <c r="AD179" s="60"/>
      <c r="AE179" s="60"/>
      <c r="AF179" s="60"/>
      <c r="AG179" s="60">
        <v>1</v>
      </c>
      <c r="AH179" s="60"/>
      <c r="AI179" s="60"/>
      <c r="AJ179" s="60"/>
      <c r="AK179" s="60"/>
      <c r="AL179" s="60"/>
      <c r="AM179" s="60">
        <v>1</v>
      </c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1">
        <v>1</v>
      </c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>
        <v>2</v>
      </c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>
        <v>3</v>
      </c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>
        <v>4</v>
      </c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</row>
    <row r="180" spans="1:100" ht="15.75" customHeight="1" outlineLevel="2">
      <c r="A180" s="84"/>
      <c r="B180" s="28"/>
      <c r="C180" s="84" t="s">
        <v>100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376">
        <v>130000</v>
      </c>
      <c r="AC180" s="62"/>
      <c r="AD180" s="62"/>
      <c r="AE180" s="62"/>
      <c r="AF180" s="62"/>
      <c r="AG180" s="376">
        <v>130000</v>
      </c>
      <c r="AH180" s="62"/>
      <c r="AI180" s="62"/>
      <c r="AJ180" s="62"/>
      <c r="AK180" s="62"/>
      <c r="AL180" s="62"/>
      <c r="AM180" s="376">
        <v>130000</v>
      </c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376">
        <v>130000</v>
      </c>
      <c r="BA180" s="63"/>
      <c r="BB180" s="62"/>
      <c r="BC180" s="63"/>
      <c r="BD180" s="63"/>
      <c r="BE180" s="62"/>
      <c r="BF180" s="63"/>
      <c r="BG180" s="63"/>
      <c r="BH180" s="62"/>
      <c r="BI180" s="63"/>
      <c r="BJ180" s="63"/>
      <c r="BK180" s="63"/>
      <c r="BL180" s="376">
        <v>130000</v>
      </c>
      <c r="BM180" s="63"/>
      <c r="BN180" s="62"/>
      <c r="BO180" s="63"/>
      <c r="BP180" s="63"/>
      <c r="BQ180" s="62"/>
      <c r="BR180" s="63"/>
      <c r="BS180" s="63"/>
      <c r="BT180" s="62"/>
      <c r="BU180" s="63"/>
      <c r="BV180" s="63"/>
      <c r="BW180" s="63"/>
      <c r="BX180" s="376">
        <v>120000</v>
      </c>
      <c r="BY180" s="63"/>
      <c r="BZ180" s="62"/>
      <c r="CA180" s="63"/>
      <c r="CB180" s="63"/>
      <c r="CC180" s="62"/>
      <c r="CD180" s="63"/>
      <c r="CE180" s="63"/>
      <c r="CF180" s="62"/>
      <c r="CG180" s="63"/>
      <c r="CH180" s="63"/>
      <c r="CI180" s="63"/>
      <c r="CJ180" s="376">
        <v>120000</v>
      </c>
      <c r="CK180" s="63"/>
      <c r="CL180" s="62"/>
      <c r="CM180" s="63"/>
      <c r="CN180" s="63"/>
      <c r="CO180" s="62"/>
      <c r="CP180" s="63"/>
      <c r="CQ180" s="63"/>
      <c r="CR180" s="62"/>
      <c r="CS180" s="63"/>
      <c r="CT180" s="63"/>
      <c r="CU180" s="63"/>
    </row>
    <row r="181" spans="1:100" ht="15.75" customHeight="1" outlineLevel="2">
      <c r="A181" s="84"/>
      <c r="B181" s="28"/>
      <c r="C181" s="84" t="s">
        <v>106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0">
        <v>2</v>
      </c>
      <c r="AT181" s="62"/>
      <c r="AU181" s="62"/>
      <c r="AV181" s="62"/>
      <c r="AW181" s="62"/>
      <c r="AX181" s="62"/>
      <c r="AY181" s="61"/>
      <c r="AZ181" s="63"/>
      <c r="BA181" s="63"/>
      <c r="BB181" s="61">
        <v>3</v>
      </c>
      <c r="BC181" s="63"/>
      <c r="BD181" s="63"/>
      <c r="BE181" s="61"/>
      <c r="BF181" s="63"/>
      <c r="BG181" s="63"/>
      <c r="BH181" s="61"/>
      <c r="BI181" s="63"/>
      <c r="BJ181" s="63"/>
      <c r="BK181" s="63"/>
      <c r="BL181" s="63"/>
      <c r="BM181" s="63"/>
      <c r="BN181" s="61">
        <v>6</v>
      </c>
      <c r="BO181" s="63"/>
      <c r="BP181" s="63"/>
      <c r="BQ181" s="61"/>
      <c r="BR181" s="63"/>
      <c r="BS181" s="63"/>
      <c r="BT181" s="61"/>
      <c r="BU181" s="63"/>
      <c r="BV181" s="63"/>
      <c r="BW181" s="63"/>
      <c r="BX181" s="63"/>
      <c r="BY181" s="63"/>
      <c r="BZ181" s="61">
        <v>9</v>
      </c>
      <c r="CA181" s="63"/>
      <c r="CB181" s="63"/>
      <c r="CC181" s="61"/>
      <c r="CD181" s="63"/>
      <c r="CE181" s="63"/>
      <c r="CF181" s="61"/>
      <c r="CG181" s="61"/>
      <c r="CH181" s="61"/>
      <c r="CI181" s="61"/>
      <c r="CJ181" s="63"/>
      <c r="CK181" s="63"/>
      <c r="CL181" s="61">
        <v>12</v>
      </c>
      <c r="CM181" s="63"/>
      <c r="CN181" s="63"/>
      <c r="CO181" s="61"/>
      <c r="CP181" s="63"/>
      <c r="CQ181" s="63"/>
      <c r="CR181" s="61"/>
      <c r="CS181" s="61"/>
      <c r="CT181" s="61"/>
      <c r="CU181" s="61"/>
    </row>
    <row r="182" spans="1:100" ht="15.75" customHeight="1" outlineLevel="2">
      <c r="A182" s="84"/>
      <c r="B182" s="28"/>
      <c r="C182" s="84" t="s">
        <v>100</v>
      </c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376">
        <v>120000</v>
      </c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376">
        <v>120000</v>
      </c>
      <c r="AT182" s="376"/>
      <c r="AU182" s="62"/>
      <c r="AV182" s="62"/>
      <c r="AW182" s="62"/>
      <c r="AX182" s="62"/>
      <c r="AY182" s="62"/>
      <c r="AZ182" s="63"/>
      <c r="BA182" s="63"/>
      <c r="BB182" s="376">
        <v>120000</v>
      </c>
      <c r="BC182" s="63"/>
      <c r="BD182" s="63"/>
      <c r="BE182" s="62"/>
      <c r="BF182" s="63"/>
      <c r="BG182" s="63"/>
      <c r="BH182" s="62"/>
      <c r="BI182" s="63"/>
      <c r="BJ182" s="63"/>
      <c r="BK182" s="63"/>
      <c r="BL182" s="63"/>
      <c r="BM182" s="63"/>
      <c r="BN182" s="376">
        <v>120000</v>
      </c>
      <c r="BO182" s="63"/>
      <c r="BP182" s="63"/>
      <c r="BQ182" s="62"/>
      <c r="BR182" s="63"/>
      <c r="BS182" s="63"/>
      <c r="BT182" s="62"/>
      <c r="BU182" s="63"/>
      <c r="BV182" s="63"/>
      <c r="BW182" s="63"/>
      <c r="BX182" s="63"/>
      <c r="BY182" s="63"/>
      <c r="BZ182" s="376">
        <v>120000</v>
      </c>
      <c r="CA182" s="63"/>
      <c r="CB182" s="63"/>
      <c r="CC182" s="62"/>
      <c r="CD182" s="63"/>
      <c r="CE182" s="63"/>
      <c r="CF182" s="62"/>
      <c r="CG182" s="63"/>
      <c r="CH182" s="63"/>
      <c r="CI182" s="63"/>
      <c r="CJ182" s="63"/>
      <c r="CK182" s="63"/>
      <c r="CL182" s="376">
        <v>120000</v>
      </c>
      <c r="CM182" s="63"/>
      <c r="CN182" s="63"/>
      <c r="CO182" s="62"/>
      <c r="CP182" s="63"/>
      <c r="CQ182" s="63"/>
      <c r="CR182" s="62"/>
      <c r="CS182" s="63"/>
      <c r="CT182" s="63"/>
      <c r="CU182" s="63"/>
    </row>
    <row r="183" spans="1:100" ht="15.75" customHeight="1" outlineLevel="2">
      <c r="A183" s="84"/>
      <c r="B183" s="28"/>
      <c r="C183" s="84" t="s">
        <v>107</v>
      </c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1">
        <v>4</v>
      </c>
      <c r="AZ183" s="63"/>
      <c r="BA183" s="63"/>
      <c r="BB183" s="62"/>
      <c r="BC183" s="63"/>
      <c r="BD183" s="63"/>
      <c r="BE183" s="61">
        <v>8</v>
      </c>
      <c r="BF183" s="63"/>
      <c r="BG183" s="63"/>
      <c r="BH183" s="61">
        <v>8</v>
      </c>
      <c r="BI183" s="63"/>
      <c r="BJ183" s="63"/>
      <c r="BK183" s="63"/>
      <c r="BL183" s="63"/>
      <c r="BM183" s="63"/>
      <c r="BN183" s="62"/>
      <c r="BO183" s="63"/>
      <c r="BP183" s="63"/>
      <c r="BQ183" s="61">
        <v>16</v>
      </c>
      <c r="BR183" s="63"/>
      <c r="BS183" s="63"/>
      <c r="BT183" s="61">
        <v>16</v>
      </c>
      <c r="BU183" s="63"/>
      <c r="BV183" s="63"/>
      <c r="BW183" s="63"/>
      <c r="BX183" s="63"/>
      <c r="BY183" s="63"/>
      <c r="BZ183" s="62"/>
      <c r="CA183" s="63"/>
      <c r="CB183" s="63"/>
      <c r="CC183" s="61">
        <v>24</v>
      </c>
      <c r="CD183" s="63"/>
      <c r="CE183" s="63"/>
      <c r="CF183" s="61">
        <v>24</v>
      </c>
      <c r="CG183" s="61"/>
      <c r="CH183" s="61"/>
      <c r="CI183" s="61"/>
      <c r="CJ183" s="63"/>
      <c r="CK183" s="63"/>
      <c r="CL183" s="62"/>
      <c r="CM183" s="63"/>
      <c r="CN183" s="63"/>
      <c r="CO183" s="61">
        <v>32</v>
      </c>
      <c r="CP183" s="63"/>
      <c r="CQ183" s="63"/>
      <c r="CR183" s="61">
        <v>32</v>
      </c>
      <c r="CS183" s="61"/>
      <c r="CT183" s="61"/>
      <c r="CU183" s="61"/>
    </row>
    <row r="184" spans="1:100" ht="12.75" outlineLevel="2">
      <c r="A184" s="84"/>
      <c r="B184" s="28"/>
      <c r="C184" s="84" t="s">
        <v>100</v>
      </c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376">
        <v>110000</v>
      </c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376">
        <v>110000</v>
      </c>
      <c r="AZ184" s="63"/>
      <c r="BA184" s="63"/>
      <c r="BB184" s="62"/>
      <c r="BC184" s="63"/>
      <c r="BD184" s="63"/>
      <c r="BE184" s="376">
        <v>110000</v>
      </c>
      <c r="BF184" s="63"/>
      <c r="BG184" s="63"/>
      <c r="BH184" s="376">
        <v>110000</v>
      </c>
      <c r="BI184" s="63"/>
      <c r="BJ184" s="63"/>
      <c r="BK184" s="63"/>
      <c r="BL184" s="63"/>
      <c r="BM184" s="63"/>
      <c r="BN184" s="62"/>
      <c r="BO184" s="63"/>
      <c r="BP184" s="63"/>
      <c r="BQ184" s="376">
        <v>110000</v>
      </c>
      <c r="BR184" s="63"/>
      <c r="BS184" s="63"/>
      <c r="BT184" s="376">
        <v>110000</v>
      </c>
      <c r="BU184" s="63"/>
      <c r="BV184" s="63"/>
      <c r="BW184" s="63"/>
      <c r="BX184" s="63"/>
      <c r="BY184" s="63"/>
      <c r="BZ184" s="62"/>
      <c r="CA184" s="63"/>
      <c r="CB184" s="63"/>
      <c r="CC184" s="376">
        <v>110000</v>
      </c>
      <c r="CD184" s="63"/>
      <c r="CE184" s="63"/>
      <c r="CF184" s="376">
        <v>110000</v>
      </c>
      <c r="CG184" s="63"/>
      <c r="CH184" s="63"/>
      <c r="CI184" s="63"/>
      <c r="CJ184" s="63"/>
      <c r="CK184" s="63"/>
      <c r="CL184" s="62"/>
      <c r="CM184" s="63"/>
      <c r="CN184" s="63"/>
      <c r="CO184" s="376">
        <v>110000</v>
      </c>
      <c r="CP184" s="63"/>
      <c r="CQ184" s="63"/>
      <c r="CR184" s="376">
        <v>110000</v>
      </c>
      <c r="CS184" s="63"/>
      <c r="CT184" s="63"/>
      <c r="CU184" s="63"/>
    </row>
    <row r="185" spans="1:100" ht="12.75" customHeight="1" outlineLevel="1">
      <c r="A185" s="84"/>
      <c r="B185" s="28"/>
      <c r="C185" s="85" t="s">
        <v>108</v>
      </c>
      <c r="D185" s="41">
        <f t="shared" ref="D185:AA185" si="116">D186*D187</f>
        <v>0</v>
      </c>
      <c r="E185" s="41">
        <f t="shared" si="116"/>
        <v>0</v>
      </c>
      <c r="F185" s="41">
        <f t="shared" si="116"/>
        <v>0</v>
      </c>
      <c r="G185" s="41">
        <f t="shared" si="116"/>
        <v>0</v>
      </c>
      <c r="H185" s="41">
        <f t="shared" si="116"/>
        <v>0</v>
      </c>
      <c r="I185" s="41">
        <f t="shared" si="116"/>
        <v>0</v>
      </c>
      <c r="J185" s="41">
        <f t="shared" si="116"/>
        <v>0</v>
      </c>
      <c r="K185" s="41">
        <f t="shared" si="116"/>
        <v>0</v>
      </c>
      <c r="L185" s="41">
        <f t="shared" si="116"/>
        <v>0</v>
      </c>
      <c r="M185" s="41">
        <f t="shared" si="116"/>
        <v>0</v>
      </c>
      <c r="N185" s="41">
        <f t="shared" si="116"/>
        <v>0</v>
      </c>
      <c r="O185" s="41">
        <f t="shared" si="116"/>
        <v>0</v>
      </c>
      <c r="P185" s="41">
        <f t="shared" si="116"/>
        <v>0</v>
      </c>
      <c r="Q185" s="41">
        <f t="shared" si="116"/>
        <v>0</v>
      </c>
      <c r="R185" s="41">
        <f t="shared" si="116"/>
        <v>0</v>
      </c>
      <c r="S185" s="41">
        <f t="shared" si="116"/>
        <v>0</v>
      </c>
      <c r="T185" s="41">
        <f t="shared" si="116"/>
        <v>0</v>
      </c>
      <c r="U185" s="41">
        <f t="shared" si="116"/>
        <v>0</v>
      </c>
      <c r="V185" s="41">
        <f t="shared" si="116"/>
        <v>0</v>
      </c>
      <c r="W185" s="41">
        <f t="shared" si="116"/>
        <v>0</v>
      </c>
      <c r="X185" s="41">
        <f t="shared" si="116"/>
        <v>0</v>
      </c>
      <c r="Y185" s="41">
        <f t="shared" si="116"/>
        <v>0</v>
      </c>
      <c r="Z185" s="41">
        <f t="shared" si="116"/>
        <v>0</v>
      </c>
      <c r="AA185" s="41">
        <f t="shared" si="116"/>
        <v>0</v>
      </c>
      <c r="AB185" s="41">
        <f t="shared" ref="AB185:CB185" si="117">AB186*AB187+AB188*AB189+AB190*AB191+AB192*AB193+AB194*AB195+AB196*AB197</f>
        <v>2500</v>
      </c>
      <c r="AC185" s="41">
        <f t="shared" si="117"/>
        <v>2500</v>
      </c>
      <c r="AD185" s="41">
        <f t="shared" si="117"/>
        <v>2500</v>
      </c>
      <c r="AE185" s="41">
        <f t="shared" si="117"/>
        <v>2500</v>
      </c>
      <c r="AF185" s="41">
        <f t="shared" si="117"/>
        <v>2500</v>
      </c>
      <c r="AG185" s="41">
        <f t="shared" si="117"/>
        <v>5000</v>
      </c>
      <c r="AH185" s="41">
        <f t="shared" si="117"/>
        <v>5000</v>
      </c>
      <c r="AI185" s="41">
        <f t="shared" si="117"/>
        <v>5000</v>
      </c>
      <c r="AJ185" s="41">
        <f t="shared" si="117"/>
        <v>5000</v>
      </c>
      <c r="AK185" s="41">
        <f t="shared" si="117"/>
        <v>5000</v>
      </c>
      <c r="AL185" s="41">
        <f t="shared" si="117"/>
        <v>5000</v>
      </c>
      <c r="AM185" s="41">
        <f t="shared" si="117"/>
        <v>7500</v>
      </c>
      <c r="AN185" s="41">
        <f t="shared" si="117"/>
        <v>7500</v>
      </c>
      <c r="AO185" s="41">
        <f t="shared" si="117"/>
        <v>7500</v>
      </c>
      <c r="AP185" s="41">
        <f t="shared" si="117"/>
        <v>7500</v>
      </c>
      <c r="AQ185" s="41">
        <f t="shared" si="117"/>
        <v>7500</v>
      </c>
      <c r="AR185" s="41">
        <f t="shared" si="117"/>
        <v>7500</v>
      </c>
      <c r="AS185" s="41">
        <f t="shared" si="117"/>
        <v>15780</v>
      </c>
      <c r="AT185" s="41">
        <f t="shared" si="117"/>
        <v>12180</v>
      </c>
      <c r="AU185" s="41">
        <f t="shared" si="117"/>
        <v>12180</v>
      </c>
      <c r="AV185" s="41">
        <f t="shared" si="117"/>
        <v>12180</v>
      </c>
      <c r="AW185" s="41">
        <f t="shared" si="117"/>
        <v>12180</v>
      </c>
      <c r="AX185" s="41">
        <f t="shared" si="117"/>
        <v>12180</v>
      </c>
      <c r="AY185" s="41">
        <f t="shared" si="117"/>
        <v>18680</v>
      </c>
      <c r="AZ185" s="41">
        <f t="shared" si="117"/>
        <v>21180</v>
      </c>
      <c r="BA185" s="41">
        <f t="shared" si="117"/>
        <v>21180</v>
      </c>
      <c r="BB185" s="41">
        <f t="shared" si="117"/>
        <v>33600</v>
      </c>
      <c r="BC185" s="41">
        <f t="shared" si="117"/>
        <v>28200</v>
      </c>
      <c r="BD185" s="41">
        <f t="shared" si="117"/>
        <v>28200</v>
      </c>
      <c r="BE185" s="41">
        <f t="shared" si="117"/>
        <v>41200</v>
      </c>
      <c r="BF185" s="41">
        <f t="shared" si="117"/>
        <v>41200</v>
      </c>
      <c r="BG185" s="41">
        <f t="shared" si="117"/>
        <v>41200</v>
      </c>
      <c r="BH185" s="41">
        <f t="shared" si="117"/>
        <v>54200</v>
      </c>
      <c r="BI185" s="41">
        <f t="shared" si="117"/>
        <v>54200</v>
      </c>
      <c r="BJ185" s="41">
        <f t="shared" si="117"/>
        <v>54200</v>
      </c>
      <c r="BK185" s="41">
        <f t="shared" si="117"/>
        <v>54200</v>
      </c>
      <c r="BL185" s="41">
        <f t="shared" si="117"/>
        <v>59200</v>
      </c>
      <c r="BM185" s="41">
        <f t="shared" si="117"/>
        <v>59200</v>
      </c>
      <c r="BN185" s="41">
        <f t="shared" si="117"/>
        <v>84040</v>
      </c>
      <c r="BO185" s="41">
        <f t="shared" si="117"/>
        <v>73240</v>
      </c>
      <c r="BP185" s="41">
        <f t="shared" si="117"/>
        <v>73240</v>
      </c>
      <c r="BQ185" s="41">
        <f t="shared" si="117"/>
        <v>99240</v>
      </c>
      <c r="BR185" s="41">
        <f t="shared" si="117"/>
        <v>99240</v>
      </c>
      <c r="BS185" s="41">
        <f t="shared" si="117"/>
        <v>99240</v>
      </c>
      <c r="BT185" s="41">
        <f t="shared" si="117"/>
        <v>125240</v>
      </c>
      <c r="BU185" s="41">
        <f t="shared" si="117"/>
        <v>125240</v>
      </c>
      <c r="BV185" s="41">
        <f t="shared" si="117"/>
        <v>125240</v>
      </c>
      <c r="BW185" s="41">
        <f t="shared" si="117"/>
        <v>125240</v>
      </c>
      <c r="BX185" s="41">
        <f t="shared" si="117"/>
        <v>132740</v>
      </c>
      <c r="BY185" s="41">
        <f t="shared" si="117"/>
        <v>132740</v>
      </c>
      <c r="BZ185" s="41">
        <f t="shared" si="117"/>
        <v>170000</v>
      </c>
      <c r="CA185" s="41">
        <f t="shared" si="117"/>
        <v>153800</v>
      </c>
      <c r="CB185" s="41">
        <f t="shared" si="117"/>
        <v>153800</v>
      </c>
      <c r="CC185" s="41">
        <f>CC186*CC187+CC188*CC189+CC190*CC191+CC192*CC193+CC194*CC195+CC196*CC197</f>
        <v>192800</v>
      </c>
      <c r="CD185" s="41">
        <f t="shared" ref="CD185:CU185" si="118">CD186*CD187+CD188*CD189+CD190*CD191+CD192*CD193+CD194*CD195+CD196*CD197</f>
        <v>192800</v>
      </c>
      <c r="CE185" s="41">
        <f t="shared" si="118"/>
        <v>192800</v>
      </c>
      <c r="CF185" s="41">
        <f t="shared" si="118"/>
        <v>231800</v>
      </c>
      <c r="CG185" s="41">
        <f t="shared" si="118"/>
        <v>231800</v>
      </c>
      <c r="CH185" s="41">
        <f t="shared" si="118"/>
        <v>231800</v>
      </c>
      <c r="CI185" s="41">
        <f t="shared" si="118"/>
        <v>231800</v>
      </c>
      <c r="CJ185" s="41">
        <f t="shared" si="118"/>
        <v>241800</v>
      </c>
      <c r="CK185" s="41">
        <f t="shared" si="118"/>
        <v>241800</v>
      </c>
      <c r="CL185" s="41">
        <f t="shared" si="118"/>
        <v>291480</v>
      </c>
      <c r="CM185" s="41">
        <f t="shared" si="118"/>
        <v>269880</v>
      </c>
      <c r="CN185" s="41">
        <f t="shared" si="118"/>
        <v>269880</v>
      </c>
      <c r="CO185" s="41">
        <f t="shared" si="118"/>
        <v>321880</v>
      </c>
      <c r="CP185" s="41">
        <f t="shared" si="118"/>
        <v>321880</v>
      </c>
      <c r="CQ185" s="41">
        <f t="shared" si="118"/>
        <v>321880</v>
      </c>
      <c r="CR185" s="41">
        <f t="shared" si="118"/>
        <v>373880</v>
      </c>
      <c r="CS185" s="41">
        <f t="shared" si="118"/>
        <v>373880</v>
      </c>
      <c r="CT185" s="41">
        <f t="shared" si="118"/>
        <v>373880</v>
      </c>
      <c r="CU185" s="41">
        <f t="shared" si="118"/>
        <v>373880</v>
      </c>
      <c r="CV185" s="3"/>
    </row>
    <row r="186" spans="1:100" s="352" customFormat="1" ht="15.75" customHeight="1" outlineLevel="3">
      <c r="A186" s="350"/>
      <c r="B186" s="377"/>
      <c r="C186" s="350" t="s">
        <v>109</v>
      </c>
      <c r="D186" s="360"/>
      <c r="E186" s="360"/>
      <c r="F186" s="360"/>
      <c r="G186" s="360"/>
      <c r="H186" s="360"/>
      <c r="I186" s="360"/>
      <c r="J186" s="360"/>
      <c r="K186" s="360"/>
      <c r="L186" s="360"/>
      <c r="M186" s="360"/>
      <c r="N186" s="360"/>
      <c r="O186" s="360"/>
      <c r="P186" s="360"/>
      <c r="Q186" s="360"/>
      <c r="R186" s="360"/>
      <c r="S186" s="360"/>
      <c r="T186" s="360"/>
      <c r="U186" s="360"/>
      <c r="V186" s="360"/>
      <c r="W186" s="360"/>
      <c r="X186" s="360"/>
      <c r="Y186" s="360"/>
      <c r="Z186" s="360"/>
      <c r="AA186" s="360"/>
      <c r="AB186" s="360">
        <f>AB179</f>
        <v>1</v>
      </c>
      <c r="AC186" s="360">
        <f>AB186+AC179</f>
        <v>1</v>
      </c>
      <c r="AD186" s="360">
        <f t="shared" ref="AD186:CO186" si="119">AC186+AD179</f>
        <v>1</v>
      </c>
      <c r="AE186" s="360">
        <f t="shared" si="119"/>
        <v>1</v>
      </c>
      <c r="AF186" s="360">
        <f t="shared" si="119"/>
        <v>1</v>
      </c>
      <c r="AG186" s="360">
        <f t="shared" si="119"/>
        <v>2</v>
      </c>
      <c r="AH186" s="360">
        <f t="shared" si="119"/>
        <v>2</v>
      </c>
      <c r="AI186" s="360">
        <f t="shared" si="119"/>
        <v>2</v>
      </c>
      <c r="AJ186" s="360">
        <f t="shared" si="119"/>
        <v>2</v>
      </c>
      <c r="AK186" s="360">
        <f t="shared" si="119"/>
        <v>2</v>
      </c>
      <c r="AL186" s="360">
        <f t="shared" si="119"/>
        <v>2</v>
      </c>
      <c r="AM186" s="360">
        <f t="shared" si="119"/>
        <v>3</v>
      </c>
      <c r="AN186" s="360">
        <f t="shared" si="119"/>
        <v>3</v>
      </c>
      <c r="AO186" s="360">
        <f t="shared" si="119"/>
        <v>3</v>
      </c>
      <c r="AP186" s="360">
        <f t="shared" si="119"/>
        <v>3</v>
      </c>
      <c r="AQ186" s="360">
        <f t="shared" si="119"/>
        <v>3</v>
      </c>
      <c r="AR186" s="360">
        <f t="shared" si="119"/>
        <v>3</v>
      </c>
      <c r="AS186" s="360">
        <f t="shared" si="119"/>
        <v>3</v>
      </c>
      <c r="AT186" s="360">
        <f t="shared" si="119"/>
        <v>3</v>
      </c>
      <c r="AU186" s="360">
        <f t="shared" si="119"/>
        <v>3</v>
      </c>
      <c r="AV186" s="360">
        <f t="shared" si="119"/>
        <v>3</v>
      </c>
      <c r="AW186" s="360">
        <f t="shared" si="119"/>
        <v>3</v>
      </c>
      <c r="AX186" s="360">
        <f t="shared" si="119"/>
        <v>3</v>
      </c>
      <c r="AY186" s="360">
        <f t="shared" si="119"/>
        <v>3</v>
      </c>
      <c r="AZ186" s="360">
        <f t="shared" si="119"/>
        <v>4</v>
      </c>
      <c r="BA186" s="360">
        <f t="shared" si="119"/>
        <v>4</v>
      </c>
      <c r="BB186" s="360">
        <f t="shared" si="119"/>
        <v>4</v>
      </c>
      <c r="BC186" s="360">
        <f t="shared" si="119"/>
        <v>4</v>
      </c>
      <c r="BD186" s="360">
        <f t="shared" si="119"/>
        <v>4</v>
      </c>
      <c r="BE186" s="360">
        <f t="shared" si="119"/>
        <v>4</v>
      </c>
      <c r="BF186" s="360">
        <f t="shared" si="119"/>
        <v>4</v>
      </c>
      <c r="BG186" s="360">
        <f t="shared" si="119"/>
        <v>4</v>
      </c>
      <c r="BH186" s="360">
        <f t="shared" si="119"/>
        <v>4</v>
      </c>
      <c r="BI186" s="360">
        <f t="shared" si="119"/>
        <v>4</v>
      </c>
      <c r="BJ186" s="360">
        <f t="shared" si="119"/>
        <v>4</v>
      </c>
      <c r="BK186" s="360">
        <f t="shared" si="119"/>
        <v>4</v>
      </c>
      <c r="BL186" s="360">
        <f t="shared" si="119"/>
        <v>6</v>
      </c>
      <c r="BM186" s="360">
        <f t="shared" si="119"/>
        <v>6</v>
      </c>
      <c r="BN186" s="360">
        <f t="shared" si="119"/>
        <v>6</v>
      </c>
      <c r="BO186" s="360">
        <f t="shared" si="119"/>
        <v>6</v>
      </c>
      <c r="BP186" s="360">
        <f t="shared" si="119"/>
        <v>6</v>
      </c>
      <c r="BQ186" s="360">
        <f t="shared" si="119"/>
        <v>6</v>
      </c>
      <c r="BR186" s="360">
        <f t="shared" si="119"/>
        <v>6</v>
      </c>
      <c r="BS186" s="360">
        <f t="shared" si="119"/>
        <v>6</v>
      </c>
      <c r="BT186" s="360">
        <f t="shared" si="119"/>
        <v>6</v>
      </c>
      <c r="BU186" s="360">
        <f t="shared" si="119"/>
        <v>6</v>
      </c>
      <c r="BV186" s="360">
        <f t="shared" si="119"/>
        <v>6</v>
      </c>
      <c r="BW186" s="360">
        <f t="shared" si="119"/>
        <v>6</v>
      </c>
      <c r="BX186" s="360">
        <f t="shared" si="119"/>
        <v>9</v>
      </c>
      <c r="BY186" s="360">
        <f t="shared" si="119"/>
        <v>9</v>
      </c>
      <c r="BZ186" s="360">
        <f t="shared" si="119"/>
        <v>9</v>
      </c>
      <c r="CA186" s="360">
        <f t="shared" si="119"/>
        <v>9</v>
      </c>
      <c r="CB186" s="360">
        <f t="shared" si="119"/>
        <v>9</v>
      </c>
      <c r="CC186" s="360">
        <f t="shared" si="119"/>
        <v>9</v>
      </c>
      <c r="CD186" s="360">
        <f t="shared" si="119"/>
        <v>9</v>
      </c>
      <c r="CE186" s="360">
        <f t="shared" si="119"/>
        <v>9</v>
      </c>
      <c r="CF186" s="360">
        <f t="shared" si="119"/>
        <v>9</v>
      </c>
      <c r="CG186" s="360">
        <f t="shared" si="119"/>
        <v>9</v>
      </c>
      <c r="CH186" s="360">
        <f t="shared" si="119"/>
        <v>9</v>
      </c>
      <c r="CI186" s="360">
        <f t="shared" si="119"/>
        <v>9</v>
      </c>
      <c r="CJ186" s="360">
        <f t="shared" si="119"/>
        <v>13</v>
      </c>
      <c r="CK186" s="360">
        <f t="shared" si="119"/>
        <v>13</v>
      </c>
      <c r="CL186" s="360">
        <f t="shared" si="119"/>
        <v>13</v>
      </c>
      <c r="CM186" s="360">
        <f t="shared" si="119"/>
        <v>13</v>
      </c>
      <c r="CN186" s="360">
        <f t="shared" si="119"/>
        <v>13</v>
      </c>
      <c r="CO186" s="360">
        <f t="shared" si="119"/>
        <v>13</v>
      </c>
      <c r="CP186" s="360">
        <f t="shared" ref="CP186:CU186" si="120">CO186+CP179</f>
        <v>13</v>
      </c>
      <c r="CQ186" s="360">
        <f t="shared" si="120"/>
        <v>13</v>
      </c>
      <c r="CR186" s="360">
        <f t="shared" si="120"/>
        <v>13</v>
      </c>
      <c r="CS186" s="360">
        <f t="shared" si="120"/>
        <v>13</v>
      </c>
      <c r="CT186" s="360">
        <f t="shared" si="120"/>
        <v>13</v>
      </c>
      <c r="CU186" s="360">
        <f t="shared" si="120"/>
        <v>13</v>
      </c>
    </row>
    <row r="187" spans="1:100" s="381" customFormat="1" ht="15.75" customHeight="1" outlineLevel="3">
      <c r="A187" s="378"/>
      <c r="B187" s="379"/>
      <c r="C187" s="378" t="s">
        <v>110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v>2500</v>
      </c>
      <c r="AC187" s="49">
        <v>2500</v>
      </c>
      <c r="AD187" s="49">
        <v>2500</v>
      </c>
      <c r="AE187" s="49">
        <v>2500</v>
      </c>
      <c r="AF187" s="49">
        <v>2500</v>
      </c>
      <c r="AG187" s="49">
        <v>2500</v>
      </c>
      <c r="AH187" s="49">
        <v>2500</v>
      </c>
      <c r="AI187" s="49">
        <v>2500</v>
      </c>
      <c r="AJ187" s="49">
        <v>2500</v>
      </c>
      <c r="AK187" s="49">
        <v>2500</v>
      </c>
      <c r="AL187" s="49">
        <v>2500</v>
      </c>
      <c r="AM187" s="49">
        <v>2500</v>
      </c>
      <c r="AN187" s="49">
        <v>2500</v>
      </c>
      <c r="AO187" s="49">
        <v>2500</v>
      </c>
      <c r="AP187" s="49">
        <v>2500</v>
      </c>
      <c r="AQ187" s="49">
        <v>2500</v>
      </c>
      <c r="AR187" s="49">
        <v>2500</v>
      </c>
      <c r="AS187" s="49">
        <v>2500</v>
      </c>
      <c r="AT187" s="49">
        <v>2500</v>
      </c>
      <c r="AU187" s="49">
        <v>2500</v>
      </c>
      <c r="AV187" s="49">
        <v>2500</v>
      </c>
      <c r="AW187" s="49">
        <v>2500</v>
      </c>
      <c r="AX187" s="49">
        <v>2500</v>
      </c>
      <c r="AY187" s="49">
        <v>2500</v>
      </c>
      <c r="AZ187" s="380">
        <v>2500</v>
      </c>
      <c r="BA187" s="50">
        <v>2500</v>
      </c>
      <c r="BB187" s="49">
        <v>2500</v>
      </c>
      <c r="BC187" s="50">
        <v>2500</v>
      </c>
      <c r="BD187" s="50">
        <v>2500</v>
      </c>
      <c r="BE187" s="49">
        <v>2500</v>
      </c>
      <c r="BF187" s="50">
        <v>2500</v>
      </c>
      <c r="BG187" s="50">
        <v>2500</v>
      </c>
      <c r="BH187" s="49">
        <v>2500</v>
      </c>
      <c r="BI187" s="50">
        <v>2500</v>
      </c>
      <c r="BJ187" s="50">
        <v>2500</v>
      </c>
      <c r="BK187" s="51">
        <v>2500</v>
      </c>
      <c r="BL187" s="380">
        <v>2500</v>
      </c>
      <c r="BM187" s="50">
        <v>2500</v>
      </c>
      <c r="BN187" s="49">
        <v>2500</v>
      </c>
      <c r="BO187" s="50">
        <v>2500</v>
      </c>
      <c r="BP187" s="50">
        <v>2500</v>
      </c>
      <c r="BQ187" s="49">
        <v>2500</v>
      </c>
      <c r="BR187" s="50">
        <v>2500</v>
      </c>
      <c r="BS187" s="50">
        <v>2500</v>
      </c>
      <c r="BT187" s="49">
        <v>2500</v>
      </c>
      <c r="BU187" s="50">
        <v>2500</v>
      </c>
      <c r="BV187" s="50">
        <v>2500</v>
      </c>
      <c r="BW187" s="51">
        <v>2500</v>
      </c>
      <c r="BX187" s="380">
        <v>2500</v>
      </c>
      <c r="BY187" s="50">
        <v>2500</v>
      </c>
      <c r="BZ187" s="49">
        <v>2500</v>
      </c>
      <c r="CA187" s="50">
        <v>2500</v>
      </c>
      <c r="CB187" s="50">
        <v>2500</v>
      </c>
      <c r="CC187" s="49">
        <v>2500</v>
      </c>
      <c r="CD187" s="50">
        <v>2500</v>
      </c>
      <c r="CE187" s="50">
        <v>2500</v>
      </c>
      <c r="CF187" s="49">
        <v>2500</v>
      </c>
      <c r="CG187" s="50">
        <v>2500</v>
      </c>
      <c r="CH187" s="50">
        <v>2500</v>
      </c>
      <c r="CI187" s="51">
        <v>2500</v>
      </c>
      <c r="CJ187" s="380">
        <v>2500</v>
      </c>
      <c r="CK187" s="50">
        <v>2500</v>
      </c>
      <c r="CL187" s="49">
        <v>2500</v>
      </c>
      <c r="CM187" s="50">
        <v>2500</v>
      </c>
      <c r="CN187" s="50">
        <v>2500</v>
      </c>
      <c r="CO187" s="49">
        <v>2500</v>
      </c>
      <c r="CP187" s="50">
        <v>2500</v>
      </c>
      <c r="CQ187" s="50">
        <v>2500</v>
      </c>
      <c r="CR187" s="49">
        <v>2500</v>
      </c>
      <c r="CS187" s="50">
        <v>2500</v>
      </c>
      <c r="CT187" s="50">
        <v>2500</v>
      </c>
      <c r="CU187" s="51">
        <v>2500</v>
      </c>
    </row>
    <row r="188" spans="1:100" s="352" customFormat="1" ht="15.75" customHeight="1" outlineLevel="3">
      <c r="A188" s="350"/>
      <c r="B188" s="377"/>
      <c r="C188" s="350" t="s">
        <v>111</v>
      </c>
      <c r="D188" s="360"/>
      <c r="E188" s="360"/>
      <c r="F188" s="360"/>
      <c r="G188" s="360"/>
      <c r="H188" s="360"/>
      <c r="I188" s="360"/>
      <c r="J188" s="360"/>
      <c r="K188" s="360"/>
      <c r="L188" s="360"/>
      <c r="M188" s="360"/>
      <c r="N188" s="360"/>
      <c r="O188" s="360"/>
      <c r="P188" s="360"/>
      <c r="Q188" s="360"/>
      <c r="R188" s="360"/>
      <c r="S188" s="360"/>
      <c r="T188" s="360"/>
      <c r="U188" s="360"/>
      <c r="V188" s="360"/>
      <c r="W188" s="360"/>
      <c r="X188" s="360"/>
      <c r="Y188" s="360"/>
      <c r="Z188" s="360"/>
      <c r="AA188" s="360"/>
      <c r="AB188" s="360">
        <f>AB181</f>
        <v>0</v>
      </c>
      <c r="AC188" s="360">
        <f t="shared" ref="AC188:CN188" si="121">AC181</f>
        <v>0</v>
      </c>
      <c r="AD188" s="360">
        <f t="shared" si="121"/>
        <v>0</v>
      </c>
      <c r="AE188" s="360">
        <f t="shared" si="121"/>
        <v>0</v>
      </c>
      <c r="AF188" s="360">
        <f t="shared" si="121"/>
        <v>0</v>
      </c>
      <c r="AG188" s="360">
        <f t="shared" si="121"/>
        <v>0</v>
      </c>
      <c r="AH188" s="360">
        <f t="shared" si="121"/>
        <v>0</v>
      </c>
      <c r="AI188" s="360">
        <f t="shared" si="121"/>
        <v>0</v>
      </c>
      <c r="AJ188" s="360">
        <f t="shared" si="121"/>
        <v>0</v>
      </c>
      <c r="AK188" s="360">
        <f t="shared" si="121"/>
        <v>0</v>
      </c>
      <c r="AL188" s="360">
        <f t="shared" si="121"/>
        <v>0</v>
      </c>
      <c r="AM188" s="360">
        <f t="shared" si="121"/>
        <v>0</v>
      </c>
      <c r="AN188" s="360">
        <f t="shared" si="121"/>
        <v>0</v>
      </c>
      <c r="AO188" s="360">
        <f t="shared" si="121"/>
        <v>0</v>
      </c>
      <c r="AP188" s="360">
        <f t="shared" si="121"/>
        <v>0</v>
      </c>
      <c r="AQ188" s="360">
        <f t="shared" si="121"/>
        <v>0</v>
      </c>
      <c r="AR188" s="360">
        <f t="shared" si="121"/>
        <v>0</v>
      </c>
      <c r="AS188" s="360">
        <f t="shared" si="121"/>
        <v>2</v>
      </c>
      <c r="AT188" s="360">
        <f t="shared" si="121"/>
        <v>0</v>
      </c>
      <c r="AU188" s="360">
        <f t="shared" si="121"/>
        <v>0</v>
      </c>
      <c r="AV188" s="360">
        <f t="shared" si="121"/>
        <v>0</v>
      </c>
      <c r="AW188" s="360">
        <f t="shared" si="121"/>
        <v>0</v>
      </c>
      <c r="AX188" s="360">
        <f t="shared" si="121"/>
        <v>0</v>
      </c>
      <c r="AY188" s="360">
        <f t="shared" si="121"/>
        <v>0</v>
      </c>
      <c r="AZ188" s="360">
        <f t="shared" si="121"/>
        <v>0</v>
      </c>
      <c r="BA188" s="360">
        <f t="shared" si="121"/>
        <v>0</v>
      </c>
      <c r="BB188" s="360">
        <f t="shared" si="121"/>
        <v>3</v>
      </c>
      <c r="BC188" s="360">
        <f t="shared" si="121"/>
        <v>0</v>
      </c>
      <c r="BD188" s="360">
        <f t="shared" si="121"/>
        <v>0</v>
      </c>
      <c r="BE188" s="360">
        <f t="shared" si="121"/>
        <v>0</v>
      </c>
      <c r="BF188" s="360">
        <f t="shared" si="121"/>
        <v>0</v>
      </c>
      <c r="BG188" s="360">
        <f t="shared" si="121"/>
        <v>0</v>
      </c>
      <c r="BH188" s="360">
        <f t="shared" si="121"/>
        <v>0</v>
      </c>
      <c r="BI188" s="360">
        <f t="shared" si="121"/>
        <v>0</v>
      </c>
      <c r="BJ188" s="360">
        <f t="shared" si="121"/>
        <v>0</v>
      </c>
      <c r="BK188" s="360">
        <f t="shared" si="121"/>
        <v>0</v>
      </c>
      <c r="BL188" s="360">
        <f t="shared" si="121"/>
        <v>0</v>
      </c>
      <c r="BM188" s="360">
        <f t="shared" si="121"/>
        <v>0</v>
      </c>
      <c r="BN188" s="360">
        <f t="shared" si="121"/>
        <v>6</v>
      </c>
      <c r="BO188" s="360">
        <f t="shared" si="121"/>
        <v>0</v>
      </c>
      <c r="BP188" s="360">
        <f t="shared" si="121"/>
        <v>0</v>
      </c>
      <c r="BQ188" s="360">
        <f t="shared" si="121"/>
        <v>0</v>
      </c>
      <c r="BR188" s="360">
        <f t="shared" si="121"/>
        <v>0</v>
      </c>
      <c r="BS188" s="360">
        <f t="shared" si="121"/>
        <v>0</v>
      </c>
      <c r="BT188" s="360">
        <f t="shared" si="121"/>
        <v>0</v>
      </c>
      <c r="BU188" s="360">
        <f t="shared" si="121"/>
        <v>0</v>
      </c>
      <c r="BV188" s="360">
        <f t="shared" si="121"/>
        <v>0</v>
      </c>
      <c r="BW188" s="360">
        <f t="shared" si="121"/>
        <v>0</v>
      </c>
      <c r="BX188" s="360">
        <f t="shared" si="121"/>
        <v>0</v>
      </c>
      <c r="BY188" s="360">
        <f t="shared" si="121"/>
        <v>0</v>
      </c>
      <c r="BZ188" s="360">
        <f t="shared" si="121"/>
        <v>9</v>
      </c>
      <c r="CA188" s="360">
        <f t="shared" si="121"/>
        <v>0</v>
      </c>
      <c r="CB188" s="360">
        <f t="shared" si="121"/>
        <v>0</v>
      </c>
      <c r="CC188" s="360">
        <f t="shared" si="121"/>
        <v>0</v>
      </c>
      <c r="CD188" s="360">
        <f t="shared" si="121"/>
        <v>0</v>
      </c>
      <c r="CE188" s="360">
        <f t="shared" si="121"/>
        <v>0</v>
      </c>
      <c r="CF188" s="360">
        <f t="shared" si="121"/>
        <v>0</v>
      </c>
      <c r="CG188" s="360">
        <f t="shared" si="121"/>
        <v>0</v>
      </c>
      <c r="CH188" s="360">
        <f t="shared" si="121"/>
        <v>0</v>
      </c>
      <c r="CI188" s="360">
        <f t="shared" si="121"/>
        <v>0</v>
      </c>
      <c r="CJ188" s="360">
        <f t="shared" si="121"/>
        <v>0</v>
      </c>
      <c r="CK188" s="360">
        <f t="shared" si="121"/>
        <v>0</v>
      </c>
      <c r="CL188" s="360">
        <f t="shared" si="121"/>
        <v>12</v>
      </c>
      <c r="CM188" s="360">
        <f t="shared" si="121"/>
        <v>0</v>
      </c>
      <c r="CN188" s="360">
        <f t="shared" si="121"/>
        <v>0</v>
      </c>
      <c r="CO188" s="360">
        <f t="shared" ref="CO188:CU188" si="122">CO181</f>
        <v>0</v>
      </c>
      <c r="CP188" s="360">
        <f t="shared" si="122"/>
        <v>0</v>
      </c>
      <c r="CQ188" s="360">
        <f t="shared" si="122"/>
        <v>0</v>
      </c>
      <c r="CR188" s="360">
        <f t="shared" si="122"/>
        <v>0</v>
      </c>
      <c r="CS188" s="360">
        <f t="shared" si="122"/>
        <v>0</v>
      </c>
      <c r="CT188" s="360">
        <f t="shared" si="122"/>
        <v>0</v>
      </c>
      <c r="CU188" s="360">
        <f t="shared" si="122"/>
        <v>0</v>
      </c>
    </row>
    <row r="189" spans="1:100" s="381" customFormat="1" ht="15.75" customHeight="1" outlineLevel="3">
      <c r="A189" s="378"/>
      <c r="B189" s="379"/>
      <c r="C189" s="378" t="s">
        <v>110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v>1800</v>
      </c>
      <c r="AC189" s="49">
        <v>1800</v>
      </c>
      <c r="AD189" s="49">
        <v>1800</v>
      </c>
      <c r="AE189" s="49">
        <v>1800</v>
      </c>
      <c r="AF189" s="49">
        <v>1800</v>
      </c>
      <c r="AG189" s="49">
        <v>1800</v>
      </c>
      <c r="AH189" s="49">
        <v>1800</v>
      </c>
      <c r="AI189" s="49">
        <v>1800</v>
      </c>
      <c r="AJ189" s="49">
        <v>1800</v>
      </c>
      <c r="AK189" s="49">
        <v>1800</v>
      </c>
      <c r="AL189" s="49">
        <v>1800</v>
      </c>
      <c r="AM189" s="49">
        <v>1800</v>
      </c>
      <c r="AN189" s="49">
        <v>1800</v>
      </c>
      <c r="AO189" s="49">
        <v>1800</v>
      </c>
      <c r="AP189" s="49">
        <v>1800</v>
      </c>
      <c r="AQ189" s="49">
        <v>1800</v>
      </c>
      <c r="AR189" s="49">
        <v>1800</v>
      </c>
      <c r="AS189" s="49">
        <v>1800</v>
      </c>
      <c r="AT189" s="49">
        <v>1800</v>
      </c>
      <c r="AU189" s="49">
        <v>1800</v>
      </c>
      <c r="AV189" s="49">
        <v>1800</v>
      </c>
      <c r="AW189" s="49">
        <v>1800</v>
      </c>
      <c r="AX189" s="49">
        <v>1800</v>
      </c>
      <c r="AY189" s="49">
        <v>1800</v>
      </c>
      <c r="AZ189" s="380">
        <v>1800</v>
      </c>
      <c r="BA189" s="50">
        <v>1800</v>
      </c>
      <c r="BB189" s="49">
        <v>1800</v>
      </c>
      <c r="BC189" s="50">
        <v>1800</v>
      </c>
      <c r="BD189" s="50">
        <v>1800</v>
      </c>
      <c r="BE189" s="49">
        <v>1800</v>
      </c>
      <c r="BF189" s="50">
        <v>1800</v>
      </c>
      <c r="BG189" s="50">
        <v>1800</v>
      </c>
      <c r="BH189" s="49">
        <v>1800</v>
      </c>
      <c r="BI189" s="50">
        <v>1800</v>
      </c>
      <c r="BJ189" s="50">
        <v>1800</v>
      </c>
      <c r="BK189" s="51">
        <v>1800</v>
      </c>
      <c r="BL189" s="380">
        <v>1800</v>
      </c>
      <c r="BM189" s="50">
        <v>1800</v>
      </c>
      <c r="BN189" s="49">
        <v>1800</v>
      </c>
      <c r="BO189" s="50">
        <v>1800</v>
      </c>
      <c r="BP189" s="50">
        <v>1800</v>
      </c>
      <c r="BQ189" s="49">
        <v>1800</v>
      </c>
      <c r="BR189" s="50">
        <v>1800</v>
      </c>
      <c r="BS189" s="50">
        <v>1800</v>
      </c>
      <c r="BT189" s="49">
        <v>1800</v>
      </c>
      <c r="BU189" s="50">
        <v>1800</v>
      </c>
      <c r="BV189" s="50">
        <v>1800</v>
      </c>
      <c r="BW189" s="51">
        <v>1800</v>
      </c>
      <c r="BX189" s="380">
        <v>1800</v>
      </c>
      <c r="BY189" s="50">
        <v>1800</v>
      </c>
      <c r="BZ189" s="49">
        <v>1800</v>
      </c>
      <c r="CA189" s="50">
        <v>1800</v>
      </c>
      <c r="CB189" s="50">
        <v>1800</v>
      </c>
      <c r="CC189" s="49">
        <v>1800</v>
      </c>
      <c r="CD189" s="50">
        <v>1800</v>
      </c>
      <c r="CE189" s="50">
        <v>1800</v>
      </c>
      <c r="CF189" s="49">
        <v>1800</v>
      </c>
      <c r="CG189" s="50">
        <v>1800</v>
      </c>
      <c r="CH189" s="50">
        <v>1800</v>
      </c>
      <c r="CI189" s="51">
        <v>1800</v>
      </c>
      <c r="CJ189" s="380">
        <v>1800</v>
      </c>
      <c r="CK189" s="50">
        <v>1800</v>
      </c>
      <c r="CL189" s="49">
        <v>1800</v>
      </c>
      <c r="CM189" s="50">
        <v>1800</v>
      </c>
      <c r="CN189" s="50">
        <v>1800</v>
      </c>
      <c r="CO189" s="49">
        <v>1800</v>
      </c>
      <c r="CP189" s="50">
        <v>1800</v>
      </c>
      <c r="CQ189" s="50">
        <v>1800</v>
      </c>
      <c r="CR189" s="49">
        <v>1800</v>
      </c>
      <c r="CS189" s="50">
        <v>1800</v>
      </c>
      <c r="CT189" s="50">
        <v>1800</v>
      </c>
      <c r="CU189" s="51">
        <v>1800</v>
      </c>
    </row>
    <row r="190" spans="1:100" s="352" customFormat="1" ht="15.75" customHeight="1" outlineLevel="3">
      <c r="A190" s="350"/>
      <c r="B190" s="377"/>
      <c r="C190" s="350" t="s">
        <v>112</v>
      </c>
      <c r="D190" s="360"/>
      <c r="E190" s="360"/>
      <c r="F190" s="360"/>
      <c r="G190" s="360"/>
      <c r="H190" s="360"/>
      <c r="I190" s="360"/>
      <c r="J190" s="360"/>
      <c r="K190" s="360"/>
      <c r="L190" s="360"/>
      <c r="M190" s="360"/>
      <c r="N190" s="360"/>
      <c r="O190" s="360"/>
      <c r="P190" s="360"/>
      <c r="Q190" s="360"/>
      <c r="R190" s="360"/>
      <c r="S190" s="360"/>
      <c r="T190" s="360"/>
      <c r="U190" s="360"/>
      <c r="V190" s="360"/>
      <c r="W190" s="360"/>
      <c r="X190" s="360"/>
      <c r="Y190" s="360"/>
      <c r="Z190" s="360"/>
      <c r="AA190" s="360"/>
      <c r="AB190" s="360">
        <v>0</v>
      </c>
      <c r="AC190" s="360">
        <v>0</v>
      </c>
      <c r="AD190" s="360">
        <v>0</v>
      </c>
      <c r="AE190" s="360">
        <v>0</v>
      </c>
      <c r="AF190" s="360">
        <v>0</v>
      </c>
      <c r="AG190" s="360">
        <v>0</v>
      </c>
      <c r="AH190" s="360">
        <v>0</v>
      </c>
      <c r="AI190" s="360">
        <v>0</v>
      </c>
      <c r="AJ190" s="360">
        <v>0</v>
      </c>
      <c r="AK190" s="360">
        <v>0</v>
      </c>
      <c r="AL190" s="360">
        <v>0</v>
      </c>
      <c r="AM190" s="360">
        <v>0</v>
      </c>
      <c r="AN190" s="360">
        <v>0</v>
      </c>
      <c r="AO190" s="360">
        <v>0</v>
      </c>
      <c r="AP190" s="360">
        <v>0</v>
      </c>
      <c r="AQ190" s="360">
        <v>0</v>
      </c>
      <c r="AR190" s="360">
        <v>0</v>
      </c>
      <c r="AS190" s="360">
        <v>0</v>
      </c>
      <c r="AT190" s="360">
        <v>0</v>
      </c>
      <c r="AU190" s="360">
        <v>0</v>
      </c>
      <c r="AV190" s="360">
        <v>0</v>
      </c>
      <c r="AW190" s="360">
        <v>0</v>
      </c>
      <c r="AX190" s="360">
        <v>0</v>
      </c>
      <c r="AY190" s="360">
        <v>0</v>
      </c>
      <c r="AZ190" s="360">
        <v>0</v>
      </c>
      <c r="BA190" s="360">
        <v>0</v>
      </c>
      <c r="BB190" s="360">
        <v>0</v>
      </c>
      <c r="BC190" s="360">
        <v>0</v>
      </c>
      <c r="BD190" s="360">
        <v>0</v>
      </c>
      <c r="BE190" s="360">
        <v>0</v>
      </c>
      <c r="BF190" s="360">
        <v>0</v>
      </c>
      <c r="BG190" s="360">
        <v>0</v>
      </c>
      <c r="BH190" s="360">
        <v>0</v>
      </c>
      <c r="BI190" s="360">
        <v>0</v>
      </c>
      <c r="BJ190" s="360">
        <v>0</v>
      </c>
      <c r="BK190" s="360">
        <v>0</v>
      </c>
      <c r="BL190" s="360">
        <v>0</v>
      </c>
      <c r="BM190" s="360">
        <v>0</v>
      </c>
      <c r="BN190" s="360">
        <v>0</v>
      </c>
      <c r="BO190" s="360">
        <v>0</v>
      </c>
      <c r="BP190" s="360">
        <v>0</v>
      </c>
      <c r="BQ190" s="360">
        <v>0</v>
      </c>
      <c r="BR190" s="360">
        <v>0</v>
      </c>
      <c r="BS190" s="360">
        <v>0</v>
      </c>
      <c r="BT190" s="360">
        <v>0</v>
      </c>
      <c r="BU190" s="360">
        <v>0</v>
      </c>
      <c r="BV190" s="360">
        <v>0</v>
      </c>
      <c r="BW190" s="360">
        <v>0</v>
      </c>
      <c r="BX190" s="360">
        <v>0</v>
      </c>
      <c r="BY190" s="360">
        <v>0</v>
      </c>
      <c r="BZ190" s="360">
        <v>0</v>
      </c>
      <c r="CA190" s="360">
        <v>0</v>
      </c>
      <c r="CB190" s="360">
        <v>0</v>
      </c>
      <c r="CC190" s="360">
        <v>0</v>
      </c>
      <c r="CD190" s="360">
        <v>0</v>
      </c>
      <c r="CE190" s="360">
        <v>0</v>
      </c>
      <c r="CF190" s="360">
        <v>0</v>
      </c>
      <c r="CG190" s="360">
        <v>0</v>
      </c>
      <c r="CH190" s="360">
        <v>0</v>
      </c>
      <c r="CI190" s="360">
        <v>0</v>
      </c>
      <c r="CJ190" s="360">
        <v>0</v>
      </c>
      <c r="CK190" s="360">
        <v>0</v>
      </c>
      <c r="CL190" s="360">
        <v>0</v>
      </c>
      <c r="CM190" s="360">
        <v>0</v>
      </c>
      <c r="CN190" s="360">
        <v>0</v>
      </c>
      <c r="CO190" s="360">
        <v>0</v>
      </c>
      <c r="CP190" s="360">
        <v>0</v>
      </c>
      <c r="CQ190" s="360">
        <v>0</v>
      </c>
      <c r="CR190" s="360">
        <v>0</v>
      </c>
      <c r="CS190" s="360">
        <v>0</v>
      </c>
      <c r="CT190" s="360">
        <v>0</v>
      </c>
      <c r="CU190" s="360">
        <v>0</v>
      </c>
    </row>
    <row r="191" spans="1:100" s="381" customFormat="1" ht="15.75" customHeight="1" outlineLevel="3">
      <c r="A191" s="378"/>
      <c r="B191" s="379"/>
      <c r="C191" s="378" t="s">
        <v>110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>
        <v>1250</v>
      </c>
      <c r="AC191" s="49">
        <v>1250</v>
      </c>
      <c r="AD191" s="49">
        <v>1250</v>
      </c>
      <c r="AE191" s="49">
        <v>1250</v>
      </c>
      <c r="AF191" s="49">
        <v>1250</v>
      </c>
      <c r="AG191" s="49">
        <v>1250</v>
      </c>
      <c r="AH191" s="49">
        <v>1250</v>
      </c>
      <c r="AI191" s="49">
        <v>1250</v>
      </c>
      <c r="AJ191" s="49">
        <v>1250</v>
      </c>
      <c r="AK191" s="49">
        <v>1250</v>
      </c>
      <c r="AL191" s="49">
        <v>1250</v>
      </c>
      <c r="AM191" s="49">
        <v>1250</v>
      </c>
      <c r="AN191" s="49">
        <v>1250</v>
      </c>
      <c r="AO191" s="49">
        <v>1250</v>
      </c>
      <c r="AP191" s="49">
        <v>1250</v>
      </c>
      <c r="AQ191" s="49">
        <v>1250</v>
      </c>
      <c r="AR191" s="49">
        <v>1250</v>
      </c>
      <c r="AS191" s="49">
        <v>1250</v>
      </c>
      <c r="AT191" s="49">
        <v>1250</v>
      </c>
      <c r="AU191" s="49">
        <v>1250</v>
      </c>
      <c r="AV191" s="49">
        <v>1250</v>
      </c>
      <c r="AW191" s="49">
        <v>1250</v>
      </c>
      <c r="AX191" s="49">
        <v>1250</v>
      </c>
      <c r="AY191" s="49">
        <v>1250</v>
      </c>
      <c r="AZ191" s="380">
        <v>1250</v>
      </c>
      <c r="BA191" s="50">
        <v>1250</v>
      </c>
      <c r="BB191" s="49">
        <v>1250</v>
      </c>
      <c r="BC191" s="50">
        <v>1250</v>
      </c>
      <c r="BD191" s="50">
        <v>1250</v>
      </c>
      <c r="BE191" s="49">
        <v>1250</v>
      </c>
      <c r="BF191" s="50">
        <v>1250</v>
      </c>
      <c r="BG191" s="50">
        <v>1250</v>
      </c>
      <c r="BH191" s="49">
        <v>1250</v>
      </c>
      <c r="BI191" s="50">
        <v>1250</v>
      </c>
      <c r="BJ191" s="50">
        <v>1250</v>
      </c>
      <c r="BK191" s="51">
        <v>1250</v>
      </c>
      <c r="BL191" s="380">
        <v>1250</v>
      </c>
      <c r="BM191" s="50">
        <v>1250</v>
      </c>
      <c r="BN191" s="49">
        <v>1250</v>
      </c>
      <c r="BO191" s="50">
        <v>1250</v>
      </c>
      <c r="BP191" s="50">
        <v>1250</v>
      </c>
      <c r="BQ191" s="49">
        <v>1250</v>
      </c>
      <c r="BR191" s="50">
        <v>1250</v>
      </c>
      <c r="BS191" s="50">
        <v>1250</v>
      </c>
      <c r="BT191" s="49">
        <v>1250</v>
      </c>
      <c r="BU191" s="50">
        <v>1250</v>
      </c>
      <c r="BV191" s="50">
        <v>1250</v>
      </c>
      <c r="BW191" s="51">
        <v>1250</v>
      </c>
      <c r="BX191" s="380">
        <v>1250</v>
      </c>
      <c r="BY191" s="50">
        <v>1250</v>
      </c>
      <c r="BZ191" s="49">
        <v>1250</v>
      </c>
      <c r="CA191" s="50">
        <v>1250</v>
      </c>
      <c r="CB191" s="50">
        <v>1250</v>
      </c>
      <c r="CC191" s="49">
        <v>1250</v>
      </c>
      <c r="CD191" s="50">
        <v>1250</v>
      </c>
      <c r="CE191" s="50">
        <v>1250</v>
      </c>
      <c r="CF191" s="49">
        <v>1250</v>
      </c>
      <c r="CG191" s="50">
        <v>1250</v>
      </c>
      <c r="CH191" s="50">
        <v>1250</v>
      </c>
      <c r="CI191" s="51">
        <v>1250</v>
      </c>
      <c r="CJ191" s="380">
        <v>1250</v>
      </c>
      <c r="CK191" s="50">
        <v>1250</v>
      </c>
      <c r="CL191" s="49">
        <v>1250</v>
      </c>
      <c r="CM191" s="50">
        <v>1250</v>
      </c>
      <c r="CN191" s="50">
        <v>1250</v>
      </c>
      <c r="CO191" s="49">
        <v>1250</v>
      </c>
      <c r="CP191" s="50">
        <v>1250</v>
      </c>
      <c r="CQ191" s="50">
        <v>1250</v>
      </c>
      <c r="CR191" s="49">
        <v>1250</v>
      </c>
      <c r="CS191" s="50">
        <v>1250</v>
      </c>
      <c r="CT191" s="50">
        <v>1250</v>
      </c>
      <c r="CU191" s="51">
        <v>1250</v>
      </c>
    </row>
    <row r="192" spans="1:100" s="352" customFormat="1" ht="15.75" customHeight="1" outlineLevel="3">
      <c r="A192" s="350"/>
      <c r="B192" s="377"/>
      <c r="C192" s="350" t="s">
        <v>113</v>
      </c>
      <c r="D192" s="360"/>
      <c r="E192" s="360"/>
      <c r="F192" s="360"/>
      <c r="G192" s="360"/>
      <c r="H192" s="360"/>
      <c r="I192" s="360"/>
      <c r="J192" s="360"/>
      <c r="K192" s="360"/>
      <c r="L192" s="360"/>
      <c r="M192" s="360"/>
      <c r="N192" s="360"/>
      <c r="O192" s="360"/>
      <c r="P192" s="360"/>
      <c r="Q192" s="360"/>
      <c r="R192" s="360"/>
      <c r="S192" s="360"/>
      <c r="T192" s="360"/>
      <c r="U192" s="360"/>
      <c r="V192" s="360"/>
      <c r="W192" s="360"/>
      <c r="X192" s="360"/>
      <c r="Y192" s="360"/>
      <c r="Z192" s="360"/>
      <c r="AA192" s="360"/>
      <c r="AB192" s="360">
        <v>0</v>
      </c>
      <c r="AC192" s="360">
        <v>0</v>
      </c>
      <c r="AD192" s="360">
        <v>0</v>
      </c>
      <c r="AE192" s="360">
        <v>0</v>
      </c>
      <c r="AF192" s="360">
        <v>0</v>
      </c>
      <c r="AG192" s="360">
        <v>0</v>
      </c>
      <c r="AH192" s="360">
        <v>0</v>
      </c>
      <c r="AI192" s="360">
        <v>0</v>
      </c>
      <c r="AJ192" s="360">
        <v>0</v>
      </c>
      <c r="AK192" s="360">
        <v>0</v>
      </c>
      <c r="AL192" s="360">
        <v>0</v>
      </c>
      <c r="AM192" s="360">
        <v>0</v>
      </c>
      <c r="AN192" s="360">
        <v>0</v>
      </c>
      <c r="AO192" s="360">
        <v>0</v>
      </c>
      <c r="AP192" s="360">
        <v>0</v>
      </c>
      <c r="AQ192" s="360">
        <v>0</v>
      </c>
      <c r="AR192" s="360">
        <v>0</v>
      </c>
      <c r="AS192" s="360">
        <v>0</v>
      </c>
      <c r="AT192" s="360">
        <v>0</v>
      </c>
      <c r="AU192" s="360">
        <v>0</v>
      </c>
      <c r="AV192" s="360">
        <v>0</v>
      </c>
      <c r="AW192" s="360">
        <v>0</v>
      </c>
      <c r="AX192" s="360">
        <v>0</v>
      </c>
      <c r="AY192" s="360">
        <v>0</v>
      </c>
      <c r="AZ192" s="360">
        <v>0</v>
      </c>
      <c r="BA192" s="360">
        <v>0</v>
      </c>
      <c r="BB192" s="360">
        <v>0</v>
      </c>
      <c r="BC192" s="360">
        <v>0</v>
      </c>
      <c r="BD192" s="360">
        <v>0</v>
      </c>
      <c r="BE192" s="360">
        <v>0</v>
      </c>
      <c r="BF192" s="360">
        <v>0</v>
      </c>
      <c r="BG192" s="360">
        <v>0</v>
      </c>
      <c r="BH192" s="360">
        <v>0</v>
      </c>
      <c r="BI192" s="360">
        <v>0</v>
      </c>
      <c r="BJ192" s="360">
        <v>0</v>
      </c>
      <c r="BK192" s="360">
        <v>0</v>
      </c>
      <c r="BL192" s="360">
        <v>0</v>
      </c>
      <c r="BM192" s="360">
        <v>0</v>
      </c>
      <c r="BN192" s="360">
        <v>0</v>
      </c>
      <c r="BO192" s="360">
        <v>0</v>
      </c>
      <c r="BP192" s="360">
        <v>0</v>
      </c>
      <c r="BQ192" s="360">
        <v>0</v>
      </c>
      <c r="BR192" s="360">
        <v>0</v>
      </c>
      <c r="BS192" s="360">
        <v>0</v>
      </c>
      <c r="BT192" s="360">
        <v>0</v>
      </c>
      <c r="BU192" s="360">
        <v>0</v>
      </c>
      <c r="BV192" s="360">
        <v>0</v>
      </c>
      <c r="BW192" s="360">
        <v>0</v>
      </c>
      <c r="BX192" s="360">
        <v>0</v>
      </c>
      <c r="BY192" s="360">
        <v>0</v>
      </c>
      <c r="BZ192" s="360">
        <v>0</v>
      </c>
      <c r="CA192" s="360">
        <v>0</v>
      </c>
      <c r="CB192" s="360">
        <v>0</v>
      </c>
      <c r="CC192" s="360">
        <v>0</v>
      </c>
      <c r="CD192" s="360">
        <v>0</v>
      </c>
      <c r="CE192" s="360">
        <v>0</v>
      </c>
      <c r="CF192" s="360">
        <v>0</v>
      </c>
      <c r="CG192" s="360">
        <v>0</v>
      </c>
      <c r="CH192" s="360">
        <v>0</v>
      </c>
      <c r="CI192" s="360">
        <v>0</v>
      </c>
      <c r="CJ192" s="360">
        <v>0</v>
      </c>
      <c r="CK192" s="360">
        <v>0</v>
      </c>
      <c r="CL192" s="360">
        <v>0</v>
      </c>
      <c r="CM192" s="360">
        <v>0</v>
      </c>
      <c r="CN192" s="360">
        <v>0</v>
      </c>
      <c r="CO192" s="360">
        <v>0</v>
      </c>
      <c r="CP192" s="360">
        <v>0</v>
      </c>
      <c r="CQ192" s="360">
        <v>0</v>
      </c>
      <c r="CR192" s="360">
        <v>0</v>
      </c>
      <c r="CS192" s="360">
        <v>0</v>
      </c>
      <c r="CT192" s="360">
        <v>0</v>
      </c>
      <c r="CU192" s="360">
        <v>0</v>
      </c>
    </row>
    <row r="193" spans="1:99" s="381" customFormat="1" ht="15.75" customHeight="1" outlineLevel="3">
      <c r="A193" s="378"/>
      <c r="B193" s="379"/>
      <c r="C193" s="378" t="s">
        <v>110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>
        <v>3250</v>
      </c>
      <c r="AC193" s="49">
        <v>3250</v>
      </c>
      <c r="AD193" s="49">
        <v>3250</v>
      </c>
      <c r="AE193" s="49">
        <v>3250</v>
      </c>
      <c r="AF193" s="49">
        <v>3250</v>
      </c>
      <c r="AG193" s="49">
        <v>3250</v>
      </c>
      <c r="AH193" s="49">
        <v>3250</v>
      </c>
      <c r="AI193" s="49">
        <v>3250</v>
      </c>
      <c r="AJ193" s="49">
        <v>3250</v>
      </c>
      <c r="AK193" s="49">
        <v>3250</v>
      </c>
      <c r="AL193" s="49">
        <v>3250</v>
      </c>
      <c r="AM193" s="49">
        <v>3250</v>
      </c>
      <c r="AN193" s="49">
        <v>3250</v>
      </c>
      <c r="AO193" s="49">
        <v>3250</v>
      </c>
      <c r="AP193" s="49">
        <v>3250</v>
      </c>
      <c r="AQ193" s="49">
        <v>3250</v>
      </c>
      <c r="AR193" s="49">
        <v>3250</v>
      </c>
      <c r="AS193" s="49">
        <v>3250</v>
      </c>
      <c r="AT193" s="49">
        <v>3250</v>
      </c>
      <c r="AU193" s="49">
        <v>3250</v>
      </c>
      <c r="AV193" s="49">
        <v>3250</v>
      </c>
      <c r="AW193" s="49">
        <v>3250</v>
      </c>
      <c r="AX193" s="49">
        <v>3250</v>
      </c>
      <c r="AY193" s="49">
        <v>3250</v>
      </c>
      <c r="AZ193" s="380">
        <v>3250</v>
      </c>
      <c r="BA193" s="50">
        <v>3250</v>
      </c>
      <c r="BB193" s="49">
        <v>3250</v>
      </c>
      <c r="BC193" s="50">
        <v>3250</v>
      </c>
      <c r="BD193" s="50">
        <v>3250</v>
      </c>
      <c r="BE193" s="49">
        <v>3250</v>
      </c>
      <c r="BF193" s="50">
        <v>3250</v>
      </c>
      <c r="BG193" s="50">
        <v>3250</v>
      </c>
      <c r="BH193" s="49">
        <v>3250</v>
      </c>
      <c r="BI193" s="50">
        <v>3250</v>
      </c>
      <c r="BJ193" s="50">
        <v>3250</v>
      </c>
      <c r="BK193" s="51">
        <v>3250</v>
      </c>
      <c r="BL193" s="380">
        <v>3250</v>
      </c>
      <c r="BM193" s="50">
        <v>3250</v>
      </c>
      <c r="BN193" s="49">
        <v>3250</v>
      </c>
      <c r="BO193" s="50">
        <v>3250</v>
      </c>
      <c r="BP193" s="50">
        <v>3250</v>
      </c>
      <c r="BQ193" s="49">
        <v>3250</v>
      </c>
      <c r="BR193" s="50">
        <v>3250</v>
      </c>
      <c r="BS193" s="50">
        <v>3250</v>
      </c>
      <c r="BT193" s="49">
        <v>3250</v>
      </c>
      <c r="BU193" s="50">
        <v>3250</v>
      </c>
      <c r="BV193" s="50">
        <v>3250</v>
      </c>
      <c r="BW193" s="51">
        <v>3250</v>
      </c>
      <c r="BX193" s="380">
        <v>3250</v>
      </c>
      <c r="BY193" s="50">
        <v>3250</v>
      </c>
      <c r="BZ193" s="49">
        <v>3250</v>
      </c>
      <c r="CA193" s="50">
        <v>3250</v>
      </c>
      <c r="CB193" s="50">
        <v>3250</v>
      </c>
      <c r="CC193" s="49">
        <v>3250</v>
      </c>
      <c r="CD193" s="50">
        <v>3250</v>
      </c>
      <c r="CE193" s="50">
        <v>3250</v>
      </c>
      <c r="CF193" s="49">
        <v>3250</v>
      </c>
      <c r="CG193" s="50">
        <v>3250</v>
      </c>
      <c r="CH193" s="50">
        <v>3250</v>
      </c>
      <c r="CI193" s="51">
        <v>3250</v>
      </c>
      <c r="CJ193" s="380">
        <v>3250</v>
      </c>
      <c r="CK193" s="50">
        <v>3250</v>
      </c>
      <c r="CL193" s="49">
        <v>3250</v>
      </c>
      <c r="CM193" s="50">
        <v>3250</v>
      </c>
      <c r="CN193" s="50">
        <v>3250</v>
      </c>
      <c r="CO193" s="49">
        <v>3250</v>
      </c>
      <c r="CP193" s="50">
        <v>3250</v>
      </c>
      <c r="CQ193" s="50">
        <v>3250</v>
      </c>
      <c r="CR193" s="49">
        <v>3250</v>
      </c>
      <c r="CS193" s="50">
        <v>3250</v>
      </c>
      <c r="CT193" s="50">
        <v>3250</v>
      </c>
      <c r="CU193" s="51">
        <v>3250</v>
      </c>
    </row>
    <row r="194" spans="1:99" s="352" customFormat="1" ht="15.75" customHeight="1" outlineLevel="3">
      <c r="A194" s="350"/>
      <c r="B194" s="377"/>
      <c r="C194" s="350" t="s">
        <v>114</v>
      </c>
      <c r="D194" s="360"/>
      <c r="E194" s="360"/>
      <c r="F194" s="360"/>
      <c r="G194" s="360"/>
      <c r="H194" s="360"/>
      <c r="I194" s="360"/>
      <c r="J194" s="360"/>
      <c r="K194" s="360"/>
      <c r="L194" s="360"/>
      <c r="M194" s="360"/>
      <c r="N194" s="360"/>
      <c r="O194" s="360"/>
      <c r="P194" s="360"/>
      <c r="Q194" s="360"/>
      <c r="R194" s="360"/>
      <c r="S194" s="360"/>
      <c r="T194" s="360"/>
      <c r="U194" s="360"/>
      <c r="V194" s="360"/>
      <c r="W194" s="360"/>
      <c r="X194" s="360"/>
      <c r="Y194" s="360"/>
      <c r="Z194" s="360"/>
      <c r="AA194" s="360"/>
      <c r="AB194" s="360">
        <f>AB181</f>
        <v>0</v>
      </c>
      <c r="AC194" s="360">
        <f>AC181+AB194</f>
        <v>0</v>
      </c>
      <c r="AD194" s="360">
        <f t="shared" ref="AD194:CO194" si="123">AD181+AC194</f>
        <v>0</v>
      </c>
      <c r="AE194" s="360">
        <f t="shared" si="123"/>
        <v>0</v>
      </c>
      <c r="AF194" s="360">
        <f t="shared" si="123"/>
        <v>0</v>
      </c>
      <c r="AG194" s="360">
        <f t="shared" si="123"/>
        <v>0</v>
      </c>
      <c r="AH194" s="360">
        <f t="shared" si="123"/>
        <v>0</v>
      </c>
      <c r="AI194" s="360">
        <f t="shared" si="123"/>
        <v>0</v>
      </c>
      <c r="AJ194" s="360">
        <f t="shared" si="123"/>
        <v>0</v>
      </c>
      <c r="AK194" s="360">
        <f t="shared" si="123"/>
        <v>0</v>
      </c>
      <c r="AL194" s="360">
        <f t="shared" si="123"/>
        <v>0</v>
      </c>
      <c r="AM194" s="360">
        <f t="shared" si="123"/>
        <v>0</v>
      </c>
      <c r="AN194" s="360">
        <f t="shared" si="123"/>
        <v>0</v>
      </c>
      <c r="AO194" s="360">
        <f t="shared" si="123"/>
        <v>0</v>
      </c>
      <c r="AP194" s="360">
        <f t="shared" si="123"/>
        <v>0</v>
      </c>
      <c r="AQ194" s="360">
        <f t="shared" si="123"/>
        <v>0</v>
      </c>
      <c r="AR194" s="360">
        <f t="shared" si="123"/>
        <v>0</v>
      </c>
      <c r="AS194" s="360">
        <f t="shared" si="123"/>
        <v>2</v>
      </c>
      <c r="AT194" s="360">
        <f t="shared" si="123"/>
        <v>2</v>
      </c>
      <c r="AU194" s="360">
        <f t="shared" si="123"/>
        <v>2</v>
      </c>
      <c r="AV194" s="360">
        <f t="shared" si="123"/>
        <v>2</v>
      </c>
      <c r="AW194" s="360">
        <f t="shared" si="123"/>
        <v>2</v>
      </c>
      <c r="AX194" s="360">
        <f t="shared" si="123"/>
        <v>2</v>
      </c>
      <c r="AY194" s="360">
        <f t="shared" si="123"/>
        <v>2</v>
      </c>
      <c r="AZ194" s="360">
        <f t="shared" si="123"/>
        <v>2</v>
      </c>
      <c r="BA194" s="360">
        <f t="shared" si="123"/>
        <v>2</v>
      </c>
      <c r="BB194" s="360">
        <f t="shared" si="123"/>
        <v>5</v>
      </c>
      <c r="BC194" s="360">
        <f t="shared" si="123"/>
        <v>5</v>
      </c>
      <c r="BD194" s="360">
        <f t="shared" si="123"/>
        <v>5</v>
      </c>
      <c r="BE194" s="360">
        <f t="shared" si="123"/>
        <v>5</v>
      </c>
      <c r="BF194" s="360">
        <f t="shared" si="123"/>
        <v>5</v>
      </c>
      <c r="BG194" s="360">
        <f t="shared" si="123"/>
        <v>5</v>
      </c>
      <c r="BH194" s="360">
        <f t="shared" si="123"/>
        <v>5</v>
      </c>
      <c r="BI194" s="360">
        <f t="shared" si="123"/>
        <v>5</v>
      </c>
      <c r="BJ194" s="360">
        <f t="shared" si="123"/>
        <v>5</v>
      </c>
      <c r="BK194" s="360">
        <f t="shared" si="123"/>
        <v>5</v>
      </c>
      <c r="BL194" s="360">
        <f t="shared" si="123"/>
        <v>5</v>
      </c>
      <c r="BM194" s="360">
        <f t="shared" si="123"/>
        <v>5</v>
      </c>
      <c r="BN194" s="360">
        <f t="shared" si="123"/>
        <v>11</v>
      </c>
      <c r="BO194" s="360">
        <f t="shared" si="123"/>
        <v>11</v>
      </c>
      <c r="BP194" s="360">
        <f t="shared" si="123"/>
        <v>11</v>
      </c>
      <c r="BQ194" s="360">
        <f t="shared" si="123"/>
        <v>11</v>
      </c>
      <c r="BR194" s="360">
        <f t="shared" si="123"/>
        <v>11</v>
      </c>
      <c r="BS194" s="360">
        <f t="shared" si="123"/>
        <v>11</v>
      </c>
      <c r="BT194" s="360">
        <f t="shared" si="123"/>
        <v>11</v>
      </c>
      <c r="BU194" s="360">
        <f t="shared" si="123"/>
        <v>11</v>
      </c>
      <c r="BV194" s="360">
        <f t="shared" si="123"/>
        <v>11</v>
      </c>
      <c r="BW194" s="360">
        <f t="shared" si="123"/>
        <v>11</v>
      </c>
      <c r="BX194" s="360">
        <f t="shared" si="123"/>
        <v>11</v>
      </c>
      <c r="BY194" s="360">
        <f t="shared" si="123"/>
        <v>11</v>
      </c>
      <c r="BZ194" s="360">
        <f t="shared" si="123"/>
        <v>20</v>
      </c>
      <c r="CA194" s="360">
        <f t="shared" si="123"/>
        <v>20</v>
      </c>
      <c r="CB194" s="360">
        <f t="shared" si="123"/>
        <v>20</v>
      </c>
      <c r="CC194" s="360">
        <f t="shared" si="123"/>
        <v>20</v>
      </c>
      <c r="CD194" s="360">
        <f t="shared" si="123"/>
        <v>20</v>
      </c>
      <c r="CE194" s="360">
        <f t="shared" si="123"/>
        <v>20</v>
      </c>
      <c r="CF194" s="360">
        <f t="shared" si="123"/>
        <v>20</v>
      </c>
      <c r="CG194" s="360">
        <f t="shared" si="123"/>
        <v>20</v>
      </c>
      <c r="CH194" s="360">
        <f t="shared" si="123"/>
        <v>20</v>
      </c>
      <c r="CI194" s="360">
        <f t="shared" si="123"/>
        <v>20</v>
      </c>
      <c r="CJ194" s="360">
        <f t="shared" si="123"/>
        <v>20</v>
      </c>
      <c r="CK194" s="360">
        <f t="shared" si="123"/>
        <v>20</v>
      </c>
      <c r="CL194" s="360">
        <f t="shared" si="123"/>
        <v>32</v>
      </c>
      <c r="CM194" s="360">
        <f t="shared" si="123"/>
        <v>32</v>
      </c>
      <c r="CN194" s="360">
        <f t="shared" si="123"/>
        <v>32</v>
      </c>
      <c r="CO194" s="360">
        <f t="shared" si="123"/>
        <v>32</v>
      </c>
      <c r="CP194" s="360">
        <f t="shared" ref="CP194:CU194" si="124">CP181+CO194</f>
        <v>32</v>
      </c>
      <c r="CQ194" s="360">
        <f t="shared" si="124"/>
        <v>32</v>
      </c>
      <c r="CR194" s="360">
        <f t="shared" si="124"/>
        <v>32</v>
      </c>
      <c r="CS194" s="360">
        <f t="shared" si="124"/>
        <v>32</v>
      </c>
      <c r="CT194" s="360">
        <f t="shared" si="124"/>
        <v>32</v>
      </c>
      <c r="CU194" s="360">
        <f t="shared" si="124"/>
        <v>32</v>
      </c>
    </row>
    <row r="195" spans="1:99" s="381" customFormat="1" ht="15.75" customHeight="1" outlineLevel="3">
      <c r="A195" s="378"/>
      <c r="B195" s="379"/>
      <c r="C195" s="378" t="s">
        <v>110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>
        <v>2340</v>
      </c>
      <c r="AC195" s="49">
        <v>2340</v>
      </c>
      <c r="AD195" s="49">
        <v>2340</v>
      </c>
      <c r="AE195" s="49">
        <v>2340</v>
      </c>
      <c r="AF195" s="49">
        <v>2340</v>
      </c>
      <c r="AG195" s="49">
        <v>2340</v>
      </c>
      <c r="AH195" s="49">
        <v>2340</v>
      </c>
      <c r="AI195" s="49">
        <v>2340</v>
      </c>
      <c r="AJ195" s="49">
        <v>2340</v>
      </c>
      <c r="AK195" s="49">
        <v>2340</v>
      </c>
      <c r="AL195" s="49">
        <v>2340</v>
      </c>
      <c r="AM195" s="49">
        <v>2340</v>
      </c>
      <c r="AN195" s="49">
        <v>2340</v>
      </c>
      <c r="AO195" s="49">
        <v>2340</v>
      </c>
      <c r="AP195" s="49">
        <v>2340</v>
      </c>
      <c r="AQ195" s="49">
        <v>2340</v>
      </c>
      <c r="AR195" s="49">
        <v>2340</v>
      </c>
      <c r="AS195" s="49">
        <v>2340</v>
      </c>
      <c r="AT195" s="49">
        <v>2340</v>
      </c>
      <c r="AU195" s="49">
        <v>2340</v>
      </c>
      <c r="AV195" s="49">
        <v>2340</v>
      </c>
      <c r="AW195" s="49">
        <v>2340</v>
      </c>
      <c r="AX195" s="49">
        <v>2340</v>
      </c>
      <c r="AY195" s="49">
        <v>2340</v>
      </c>
      <c r="AZ195" s="380">
        <v>2340</v>
      </c>
      <c r="BA195" s="50">
        <v>2340</v>
      </c>
      <c r="BB195" s="49">
        <v>2340</v>
      </c>
      <c r="BC195" s="50">
        <v>2340</v>
      </c>
      <c r="BD195" s="50">
        <v>2340</v>
      </c>
      <c r="BE195" s="49">
        <v>2340</v>
      </c>
      <c r="BF195" s="50">
        <v>2340</v>
      </c>
      <c r="BG195" s="50">
        <v>2340</v>
      </c>
      <c r="BH195" s="49">
        <v>2340</v>
      </c>
      <c r="BI195" s="50">
        <v>2340</v>
      </c>
      <c r="BJ195" s="50">
        <v>2340</v>
      </c>
      <c r="BK195" s="51">
        <v>2340</v>
      </c>
      <c r="BL195" s="380">
        <v>2340</v>
      </c>
      <c r="BM195" s="50">
        <v>2340</v>
      </c>
      <c r="BN195" s="49">
        <v>2340</v>
      </c>
      <c r="BO195" s="50">
        <v>2340</v>
      </c>
      <c r="BP195" s="50">
        <v>2340</v>
      </c>
      <c r="BQ195" s="49">
        <v>2340</v>
      </c>
      <c r="BR195" s="50">
        <v>2340</v>
      </c>
      <c r="BS195" s="50">
        <v>2340</v>
      </c>
      <c r="BT195" s="49">
        <v>2340</v>
      </c>
      <c r="BU195" s="50">
        <v>2340</v>
      </c>
      <c r="BV195" s="50">
        <v>2340</v>
      </c>
      <c r="BW195" s="51">
        <v>2340</v>
      </c>
      <c r="BX195" s="380">
        <v>2340</v>
      </c>
      <c r="BY195" s="50">
        <v>2340</v>
      </c>
      <c r="BZ195" s="49">
        <v>2340</v>
      </c>
      <c r="CA195" s="50">
        <v>2340</v>
      </c>
      <c r="CB195" s="50">
        <v>2340</v>
      </c>
      <c r="CC195" s="49">
        <v>2340</v>
      </c>
      <c r="CD195" s="50">
        <v>2340</v>
      </c>
      <c r="CE195" s="50">
        <v>2340</v>
      </c>
      <c r="CF195" s="49">
        <v>2340</v>
      </c>
      <c r="CG195" s="50">
        <v>2340</v>
      </c>
      <c r="CH195" s="50">
        <v>2340</v>
      </c>
      <c r="CI195" s="51">
        <v>2340</v>
      </c>
      <c r="CJ195" s="380">
        <v>2340</v>
      </c>
      <c r="CK195" s="50">
        <v>2340</v>
      </c>
      <c r="CL195" s="49">
        <v>2340</v>
      </c>
      <c r="CM195" s="50">
        <v>2340</v>
      </c>
      <c r="CN195" s="50">
        <v>2340</v>
      </c>
      <c r="CO195" s="49">
        <v>2340</v>
      </c>
      <c r="CP195" s="50">
        <v>2340</v>
      </c>
      <c r="CQ195" s="50">
        <v>2340</v>
      </c>
      <c r="CR195" s="49">
        <v>2340</v>
      </c>
      <c r="CS195" s="50">
        <v>2340</v>
      </c>
      <c r="CT195" s="50">
        <v>2340</v>
      </c>
      <c r="CU195" s="51">
        <v>2340</v>
      </c>
    </row>
    <row r="196" spans="1:99" s="352" customFormat="1" ht="15.75" customHeight="1" outlineLevel="3">
      <c r="A196" s="350"/>
      <c r="B196" s="377"/>
      <c r="C196" s="350" t="s">
        <v>115</v>
      </c>
      <c r="D196" s="360"/>
      <c r="E196" s="360"/>
      <c r="F196" s="360"/>
      <c r="G196" s="360"/>
      <c r="H196" s="360"/>
      <c r="I196" s="360"/>
      <c r="J196" s="360"/>
      <c r="K196" s="360"/>
      <c r="L196" s="360"/>
      <c r="M196" s="360"/>
      <c r="N196" s="360"/>
      <c r="O196" s="360"/>
      <c r="P196" s="360"/>
      <c r="Q196" s="360"/>
      <c r="R196" s="360"/>
      <c r="S196" s="360"/>
      <c r="T196" s="360"/>
      <c r="U196" s="360"/>
      <c r="V196" s="360"/>
      <c r="W196" s="360"/>
      <c r="X196" s="360"/>
      <c r="Y196" s="360"/>
      <c r="Z196" s="360"/>
      <c r="AA196" s="360"/>
      <c r="AB196" s="360">
        <f>AB183</f>
        <v>0</v>
      </c>
      <c r="AC196" s="360">
        <f>AC183+AB196</f>
        <v>0</v>
      </c>
      <c r="AD196" s="360">
        <f t="shared" ref="AD196:CO196" si="125">AD183+AC196</f>
        <v>0</v>
      </c>
      <c r="AE196" s="360">
        <f t="shared" si="125"/>
        <v>0</v>
      </c>
      <c r="AF196" s="360">
        <f t="shared" si="125"/>
        <v>0</v>
      </c>
      <c r="AG196" s="360">
        <f t="shared" si="125"/>
        <v>0</v>
      </c>
      <c r="AH196" s="360">
        <f t="shared" si="125"/>
        <v>0</v>
      </c>
      <c r="AI196" s="360">
        <f t="shared" si="125"/>
        <v>0</v>
      </c>
      <c r="AJ196" s="360">
        <f t="shared" si="125"/>
        <v>0</v>
      </c>
      <c r="AK196" s="360">
        <f t="shared" si="125"/>
        <v>0</v>
      </c>
      <c r="AL196" s="360">
        <f t="shared" si="125"/>
        <v>0</v>
      </c>
      <c r="AM196" s="360">
        <f t="shared" si="125"/>
        <v>0</v>
      </c>
      <c r="AN196" s="360">
        <f t="shared" si="125"/>
        <v>0</v>
      </c>
      <c r="AO196" s="360">
        <f t="shared" si="125"/>
        <v>0</v>
      </c>
      <c r="AP196" s="360">
        <f t="shared" si="125"/>
        <v>0</v>
      </c>
      <c r="AQ196" s="360">
        <f t="shared" si="125"/>
        <v>0</v>
      </c>
      <c r="AR196" s="360">
        <f t="shared" si="125"/>
        <v>0</v>
      </c>
      <c r="AS196" s="360">
        <f t="shared" si="125"/>
        <v>0</v>
      </c>
      <c r="AT196" s="360">
        <f t="shared" si="125"/>
        <v>0</v>
      </c>
      <c r="AU196" s="360">
        <f t="shared" si="125"/>
        <v>0</v>
      </c>
      <c r="AV196" s="360">
        <f t="shared" si="125"/>
        <v>0</v>
      </c>
      <c r="AW196" s="360">
        <f t="shared" si="125"/>
        <v>0</v>
      </c>
      <c r="AX196" s="360">
        <f t="shared" si="125"/>
        <v>0</v>
      </c>
      <c r="AY196" s="360">
        <f t="shared" si="125"/>
        <v>4</v>
      </c>
      <c r="AZ196" s="360">
        <f t="shared" si="125"/>
        <v>4</v>
      </c>
      <c r="BA196" s="360">
        <f t="shared" si="125"/>
        <v>4</v>
      </c>
      <c r="BB196" s="360">
        <f t="shared" si="125"/>
        <v>4</v>
      </c>
      <c r="BC196" s="360">
        <f t="shared" si="125"/>
        <v>4</v>
      </c>
      <c r="BD196" s="360">
        <f t="shared" si="125"/>
        <v>4</v>
      </c>
      <c r="BE196" s="360">
        <f t="shared" si="125"/>
        <v>12</v>
      </c>
      <c r="BF196" s="360">
        <f t="shared" si="125"/>
        <v>12</v>
      </c>
      <c r="BG196" s="360">
        <f t="shared" si="125"/>
        <v>12</v>
      </c>
      <c r="BH196" s="360">
        <f t="shared" si="125"/>
        <v>20</v>
      </c>
      <c r="BI196" s="360">
        <f t="shared" si="125"/>
        <v>20</v>
      </c>
      <c r="BJ196" s="360">
        <f t="shared" si="125"/>
        <v>20</v>
      </c>
      <c r="BK196" s="360">
        <f t="shared" si="125"/>
        <v>20</v>
      </c>
      <c r="BL196" s="360">
        <f t="shared" si="125"/>
        <v>20</v>
      </c>
      <c r="BM196" s="360">
        <f t="shared" si="125"/>
        <v>20</v>
      </c>
      <c r="BN196" s="360">
        <f t="shared" si="125"/>
        <v>20</v>
      </c>
      <c r="BO196" s="360">
        <f t="shared" si="125"/>
        <v>20</v>
      </c>
      <c r="BP196" s="360">
        <f t="shared" si="125"/>
        <v>20</v>
      </c>
      <c r="BQ196" s="360">
        <f t="shared" si="125"/>
        <v>36</v>
      </c>
      <c r="BR196" s="360">
        <f t="shared" si="125"/>
        <v>36</v>
      </c>
      <c r="BS196" s="360">
        <f t="shared" si="125"/>
        <v>36</v>
      </c>
      <c r="BT196" s="360">
        <f t="shared" si="125"/>
        <v>52</v>
      </c>
      <c r="BU196" s="360">
        <f t="shared" si="125"/>
        <v>52</v>
      </c>
      <c r="BV196" s="360">
        <f t="shared" si="125"/>
        <v>52</v>
      </c>
      <c r="BW196" s="360">
        <f t="shared" si="125"/>
        <v>52</v>
      </c>
      <c r="BX196" s="360">
        <f t="shared" si="125"/>
        <v>52</v>
      </c>
      <c r="BY196" s="360">
        <f t="shared" si="125"/>
        <v>52</v>
      </c>
      <c r="BZ196" s="360">
        <f t="shared" si="125"/>
        <v>52</v>
      </c>
      <c r="CA196" s="360">
        <f t="shared" si="125"/>
        <v>52</v>
      </c>
      <c r="CB196" s="360">
        <f t="shared" si="125"/>
        <v>52</v>
      </c>
      <c r="CC196" s="360">
        <f t="shared" si="125"/>
        <v>76</v>
      </c>
      <c r="CD196" s="360">
        <f t="shared" si="125"/>
        <v>76</v>
      </c>
      <c r="CE196" s="360">
        <f t="shared" si="125"/>
        <v>76</v>
      </c>
      <c r="CF196" s="360">
        <f t="shared" si="125"/>
        <v>100</v>
      </c>
      <c r="CG196" s="360">
        <f t="shared" si="125"/>
        <v>100</v>
      </c>
      <c r="CH196" s="360">
        <f t="shared" si="125"/>
        <v>100</v>
      </c>
      <c r="CI196" s="360">
        <f t="shared" si="125"/>
        <v>100</v>
      </c>
      <c r="CJ196" s="360">
        <f t="shared" si="125"/>
        <v>100</v>
      </c>
      <c r="CK196" s="360">
        <f t="shared" si="125"/>
        <v>100</v>
      </c>
      <c r="CL196" s="360">
        <f t="shared" si="125"/>
        <v>100</v>
      </c>
      <c r="CM196" s="360">
        <f t="shared" si="125"/>
        <v>100</v>
      </c>
      <c r="CN196" s="360">
        <f t="shared" si="125"/>
        <v>100</v>
      </c>
      <c r="CO196" s="360">
        <f t="shared" si="125"/>
        <v>132</v>
      </c>
      <c r="CP196" s="360">
        <f t="shared" ref="CP196:CU196" si="126">CP183+CO196</f>
        <v>132</v>
      </c>
      <c r="CQ196" s="360">
        <f t="shared" si="126"/>
        <v>132</v>
      </c>
      <c r="CR196" s="360">
        <f t="shared" si="126"/>
        <v>164</v>
      </c>
      <c r="CS196" s="360">
        <f t="shared" si="126"/>
        <v>164</v>
      </c>
      <c r="CT196" s="360">
        <f t="shared" si="126"/>
        <v>164</v>
      </c>
      <c r="CU196" s="360">
        <f t="shared" si="126"/>
        <v>164</v>
      </c>
    </row>
    <row r="197" spans="1:99" s="381" customFormat="1" ht="15.75" customHeight="1" outlineLevel="3">
      <c r="A197" s="378"/>
      <c r="B197" s="379"/>
      <c r="C197" s="378" t="s">
        <v>110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v>1625</v>
      </c>
      <c r="AC197" s="49">
        <v>1625</v>
      </c>
      <c r="AD197" s="49">
        <v>1625</v>
      </c>
      <c r="AE197" s="49">
        <v>1625</v>
      </c>
      <c r="AF197" s="49">
        <v>1625</v>
      </c>
      <c r="AG197" s="49">
        <v>1625</v>
      </c>
      <c r="AH197" s="49">
        <v>1625</v>
      </c>
      <c r="AI197" s="49">
        <v>1625</v>
      </c>
      <c r="AJ197" s="49">
        <v>1625</v>
      </c>
      <c r="AK197" s="49">
        <v>1625</v>
      </c>
      <c r="AL197" s="49">
        <v>1625</v>
      </c>
      <c r="AM197" s="49">
        <v>1625</v>
      </c>
      <c r="AN197" s="49">
        <v>1625</v>
      </c>
      <c r="AO197" s="49">
        <v>1625</v>
      </c>
      <c r="AP197" s="49">
        <v>1625</v>
      </c>
      <c r="AQ197" s="49">
        <v>1625</v>
      </c>
      <c r="AR197" s="49">
        <v>1625</v>
      </c>
      <c r="AS197" s="49">
        <v>1625</v>
      </c>
      <c r="AT197" s="49">
        <v>1625</v>
      </c>
      <c r="AU197" s="49">
        <v>1625</v>
      </c>
      <c r="AV197" s="49">
        <v>1625</v>
      </c>
      <c r="AW197" s="49">
        <v>1625</v>
      </c>
      <c r="AX197" s="49">
        <v>1625</v>
      </c>
      <c r="AY197" s="49">
        <v>1625</v>
      </c>
      <c r="AZ197" s="380">
        <v>1625</v>
      </c>
      <c r="BA197" s="50">
        <v>1625</v>
      </c>
      <c r="BB197" s="49">
        <v>1625</v>
      </c>
      <c r="BC197" s="50">
        <v>1625</v>
      </c>
      <c r="BD197" s="50">
        <v>1625</v>
      </c>
      <c r="BE197" s="49">
        <v>1625</v>
      </c>
      <c r="BF197" s="50">
        <v>1625</v>
      </c>
      <c r="BG197" s="50">
        <v>1625</v>
      </c>
      <c r="BH197" s="49">
        <v>1625</v>
      </c>
      <c r="BI197" s="50">
        <v>1625</v>
      </c>
      <c r="BJ197" s="50">
        <v>1625</v>
      </c>
      <c r="BK197" s="51">
        <v>1625</v>
      </c>
      <c r="BL197" s="380">
        <v>1625</v>
      </c>
      <c r="BM197" s="50">
        <v>1625</v>
      </c>
      <c r="BN197" s="49">
        <v>1625</v>
      </c>
      <c r="BO197" s="50">
        <v>1625</v>
      </c>
      <c r="BP197" s="50">
        <v>1625</v>
      </c>
      <c r="BQ197" s="49">
        <v>1625</v>
      </c>
      <c r="BR197" s="50">
        <v>1625</v>
      </c>
      <c r="BS197" s="50">
        <v>1625</v>
      </c>
      <c r="BT197" s="49">
        <v>1625</v>
      </c>
      <c r="BU197" s="50">
        <v>1625</v>
      </c>
      <c r="BV197" s="50">
        <v>1625</v>
      </c>
      <c r="BW197" s="51">
        <v>1625</v>
      </c>
      <c r="BX197" s="380">
        <v>1625</v>
      </c>
      <c r="BY197" s="50">
        <v>1625</v>
      </c>
      <c r="BZ197" s="49">
        <v>1625</v>
      </c>
      <c r="CA197" s="50">
        <v>1625</v>
      </c>
      <c r="CB197" s="50">
        <v>1625</v>
      </c>
      <c r="CC197" s="49">
        <v>1625</v>
      </c>
      <c r="CD197" s="50">
        <v>1625</v>
      </c>
      <c r="CE197" s="50">
        <v>1625</v>
      </c>
      <c r="CF197" s="49">
        <v>1625</v>
      </c>
      <c r="CG197" s="50">
        <v>1625</v>
      </c>
      <c r="CH197" s="50">
        <v>1625</v>
      </c>
      <c r="CI197" s="51">
        <v>1625</v>
      </c>
      <c r="CJ197" s="380">
        <v>1625</v>
      </c>
      <c r="CK197" s="50">
        <v>1625</v>
      </c>
      <c r="CL197" s="49">
        <v>1625</v>
      </c>
      <c r="CM197" s="50">
        <v>1625</v>
      </c>
      <c r="CN197" s="50">
        <v>1625</v>
      </c>
      <c r="CO197" s="49">
        <v>1625</v>
      </c>
      <c r="CP197" s="50">
        <v>1625</v>
      </c>
      <c r="CQ197" s="50">
        <v>1625</v>
      </c>
      <c r="CR197" s="49">
        <v>1625</v>
      </c>
      <c r="CS197" s="50">
        <v>1625</v>
      </c>
      <c r="CT197" s="50">
        <v>1625</v>
      </c>
      <c r="CU197" s="51">
        <v>1625</v>
      </c>
    </row>
    <row r="198" spans="1:99" ht="15.75" customHeight="1" outlineLevel="1">
      <c r="A198" s="84"/>
      <c r="B198" s="28"/>
      <c r="C198" s="21"/>
      <c r="D198" s="29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</row>
    <row r="199" spans="1:99" ht="15.75" customHeight="1" outlineLevel="1">
      <c r="A199" s="84"/>
      <c r="B199" s="28"/>
      <c r="C199" s="21"/>
      <c r="D199" s="29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44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</row>
    <row r="200" spans="1:99" ht="15.75" customHeight="1" outlineLevel="1">
      <c r="A200" s="84"/>
      <c r="B200" s="30">
        <v>4</v>
      </c>
      <c r="C200" s="31" t="s">
        <v>116</v>
      </c>
      <c r="D200" s="43">
        <f>D201</f>
        <v>0</v>
      </c>
      <c r="E200" s="43">
        <f t="shared" ref="E200:BP200" si="127">E201</f>
        <v>0</v>
      </c>
      <c r="F200" s="43">
        <f t="shared" si="127"/>
        <v>0</v>
      </c>
      <c r="G200" s="43">
        <f t="shared" si="127"/>
        <v>0</v>
      </c>
      <c r="H200" s="43">
        <f t="shared" si="127"/>
        <v>0</v>
      </c>
      <c r="I200" s="43">
        <f t="shared" si="127"/>
        <v>0</v>
      </c>
      <c r="J200" s="43">
        <f t="shared" si="127"/>
        <v>0</v>
      </c>
      <c r="K200" s="43">
        <f t="shared" si="127"/>
        <v>0</v>
      </c>
      <c r="L200" s="43">
        <f t="shared" si="127"/>
        <v>0</v>
      </c>
      <c r="M200" s="43">
        <f t="shared" si="127"/>
        <v>0</v>
      </c>
      <c r="N200" s="43">
        <f t="shared" si="127"/>
        <v>0</v>
      </c>
      <c r="O200" s="43">
        <f t="shared" si="127"/>
        <v>0</v>
      </c>
      <c r="P200" s="43">
        <f t="shared" si="127"/>
        <v>0</v>
      </c>
      <c r="Q200" s="43">
        <f t="shared" si="127"/>
        <v>0</v>
      </c>
      <c r="R200" s="43">
        <f t="shared" si="127"/>
        <v>0</v>
      </c>
      <c r="S200" s="43">
        <f t="shared" si="127"/>
        <v>0</v>
      </c>
      <c r="T200" s="43">
        <f t="shared" si="127"/>
        <v>0</v>
      </c>
      <c r="U200" s="355">
        <f t="shared" si="127"/>
        <v>0</v>
      </c>
      <c r="V200" s="355">
        <f t="shared" si="127"/>
        <v>0</v>
      </c>
      <c r="W200" s="355">
        <f t="shared" si="127"/>
        <v>0</v>
      </c>
      <c r="X200" s="355">
        <f t="shared" si="127"/>
        <v>0</v>
      </c>
      <c r="Y200" s="355">
        <f t="shared" si="127"/>
        <v>0</v>
      </c>
      <c r="Z200" s="355">
        <f t="shared" si="127"/>
        <v>0</v>
      </c>
      <c r="AA200" s="355">
        <f t="shared" si="127"/>
        <v>0</v>
      </c>
      <c r="AB200" s="355">
        <f t="shared" si="127"/>
        <v>0</v>
      </c>
      <c r="AC200" s="355">
        <f t="shared" si="127"/>
        <v>0</v>
      </c>
      <c r="AD200" s="355">
        <f t="shared" si="127"/>
        <v>0</v>
      </c>
      <c r="AE200" s="355">
        <f t="shared" si="127"/>
        <v>0</v>
      </c>
      <c r="AF200" s="355">
        <f t="shared" si="127"/>
        <v>0</v>
      </c>
      <c r="AG200" s="355">
        <f t="shared" si="127"/>
        <v>0</v>
      </c>
      <c r="AH200" s="355">
        <f t="shared" si="127"/>
        <v>0</v>
      </c>
      <c r="AI200" s="355">
        <f t="shared" si="127"/>
        <v>0</v>
      </c>
      <c r="AJ200" s="355">
        <f t="shared" si="127"/>
        <v>0</v>
      </c>
      <c r="AK200" s="355">
        <f t="shared" si="127"/>
        <v>0</v>
      </c>
      <c r="AL200" s="355">
        <f t="shared" si="127"/>
        <v>0</v>
      </c>
      <c r="AM200" s="355">
        <f t="shared" si="127"/>
        <v>0</v>
      </c>
      <c r="AN200" s="355">
        <f t="shared" si="127"/>
        <v>0</v>
      </c>
      <c r="AO200" s="355">
        <f t="shared" si="127"/>
        <v>0</v>
      </c>
      <c r="AP200" s="355">
        <f t="shared" si="127"/>
        <v>0</v>
      </c>
      <c r="AQ200" s="355">
        <f t="shared" si="127"/>
        <v>0</v>
      </c>
      <c r="AR200" s="355">
        <f t="shared" si="127"/>
        <v>0</v>
      </c>
      <c r="AS200" s="355">
        <f t="shared" si="127"/>
        <v>9000</v>
      </c>
      <c r="AT200" s="355">
        <f t="shared" si="127"/>
        <v>9000</v>
      </c>
      <c r="AU200" s="355">
        <f t="shared" si="127"/>
        <v>9000</v>
      </c>
      <c r="AV200" s="355">
        <f t="shared" si="127"/>
        <v>9000</v>
      </c>
      <c r="AW200" s="355">
        <f t="shared" si="127"/>
        <v>9000</v>
      </c>
      <c r="AX200" s="355">
        <f t="shared" si="127"/>
        <v>9000</v>
      </c>
      <c r="AY200" s="355">
        <f t="shared" si="127"/>
        <v>27000</v>
      </c>
      <c r="AZ200" s="355">
        <f t="shared" si="127"/>
        <v>27000</v>
      </c>
      <c r="BA200" s="355">
        <f t="shared" si="127"/>
        <v>27000</v>
      </c>
      <c r="BB200" s="355">
        <f t="shared" si="127"/>
        <v>40500</v>
      </c>
      <c r="BC200" s="355">
        <f t="shared" si="127"/>
        <v>40500</v>
      </c>
      <c r="BD200" s="355">
        <f t="shared" si="127"/>
        <v>40500</v>
      </c>
      <c r="BE200" s="355">
        <f t="shared" si="127"/>
        <v>76500</v>
      </c>
      <c r="BF200" s="355">
        <f t="shared" si="127"/>
        <v>76500</v>
      </c>
      <c r="BG200" s="355">
        <f t="shared" si="127"/>
        <v>76500</v>
      </c>
      <c r="BH200" s="355">
        <f t="shared" si="127"/>
        <v>112500</v>
      </c>
      <c r="BI200" s="355">
        <f t="shared" si="127"/>
        <v>112500</v>
      </c>
      <c r="BJ200" s="355">
        <f t="shared" si="127"/>
        <v>112500</v>
      </c>
      <c r="BK200" s="355">
        <f t="shared" si="127"/>
        <v>112500</v>
      </c>
      <c r="BL200" s="355">
        <f t="shared" si="127"/>
        <v>112500</v>
      </c>
      <c r="BM200" s="355">
        <f t="shared" si="127"/>
        <v>112500</v>
      </c>
      <c r="BN200" s="355">
        <f t="shared" si="127"/>
        <v>139500</v>
      </c>
      <c r="BO200" s="355">
        <f t="shared" si="127"/>
        <v>139500</v>
      </c>
      <c r="BP200" s="355">
        <f t="shared" si="127"/>
        <v>139500</v>
      </c>
      <c r="BQ200" s="355">
        <f t="shared" ref="BQ200:CU200" si="128">BQ201</f>
        <v>211500</v>
      </c>
      <c r="BR200" s="355">
        <f t="shared" si="128"/>
        <v>211500</v>
      </c>
      <c r="BS200" s="355">
        <f t="shared" si="128"/>
        <v>211500</v>
      </c>
      <c r="BT200" s="355">
        <f t="shared" si="128"/>
        <v>283500</v>
      </c>
      <c r="BU200" s="355">
        <f t="shared" si="128"/>
        <v>283500</v>
      </c>
      <c r="BV200" s="355">
        <f t="shared" si="128"/>
        <v>283500</v>
      </c>
      <c r="BW200" s="355">
        <f t="shared" si="128"/>
        <v>283500</v>
      </c>
      <c r="BX200" s="355">
        <f t="shared" si="128"/>
        <v>283500</v>
      </c>
      <c r="BY200" s="355">
        <f t="shared" si="128"/>
        <v>283500</v>
      </c>
      <c r="BZ200" s="355">
        <f t="shared" si="128"/>
        <v>324000</v>
      </c>
      <c r="CA200" s="355">
        <f t="shared" si="128"/>
        <v>324000</v>
      </c>
      <c r="CB200" s="355">
        <f t="shared" si="128"/>
        <v>324000</v>
      </c>
      <c r="CC200" s="355">
        <f t="shared" si="128"/>
        <v>432000</v>
      </c>
      <c r="CD200" s="355">
        <f t="shared" si="128"/>
        <v>432000</v>
      </c>
      <c r="CE200" s="355">
        <f t="shared" si="128"/>
        <v>432000</v>
      </c>
      <c r="CF200" s="355">
        <f t="shared" si="128"/>
        <v>540000</v>
      </c>
      <c r="CG200" s="355">
        <f t="shared" si="128"/>
        <v>540000</v>
      </c>
      <c r="CH200" s="355">
        <f t="shared" si="128"/>
        <v>540000</v>
      </c>
      <c r="CI200" s="355">
        <f t="shared" si="128"/>
        <v>540000</v>
      </c>
      <c r="CJ200" s="355">
        <f t="shared" si="128"/>
        <v>540000</v>
      </c>
      <c r="CK200" s="355">
        <f t="shared" si="128"/>
        <v>540000</v>
      </c>
      <c r="CL200" s="355">
        <f t="shared" si="128"/>
        <v>594000</v>
      </c>
      <c r="CM200" s="355">
        <f t="shared" si="128"/>
        <v>594000</v>
      </c>
      <c r="CN200" s="355">
        <f t="shared" si="128"/>
        <v>594000</v>
      </c>
      <c r="CO200" s="355">
        <f t="shared" si="128"/>
        <v>738000</v>
      </c>
      <c r="CP200" s="355">
        <f t="shared" si="128"/>
        <v>738000</v>
      </c>
      <c r="CQ200" s="355">
        <f t="shared" si="128"/>
        <v>738000</v>
      </c>
      <c r="CR200" s="355">
        <f t="shared" si="128"/>
        <v>882000</v>
      </c>
      <c r="CS200" s="355">
        <f t="shared" si="128"/>
        <v>882000</v>
      </c>
      <c r="CT200" s="355">
        <f t="shared" si="128"/>
        <v>882000</v>
      </c>
      <c r="CU200" s="355">
        <f t="shared" si="128"/>
        <v>882000</v>
      </c>
    </row>
    <row r="201" spans="1:99" ht="12.75" customHeight="1" outlineLevel="1">
      <c r="A201" s="84"/>
      <c r="B201" s="28"/>
      <c r="C201" s="85" t="s">
        <v>117</v>
      </c>
      <c r="D201" s="41">
        <f t="shared" ref="D201:CU201" si="129">D202*D203</f>
        <v>0</v>
      </c>
      <c r="E201" s="41">
        <f t="shared" si="129"/>
        <v>0</v>
      </c>
      <c r="F201" s="41">
        <f t="shared" si="129"/>
        <v>0</v>
      </c>
      <c r="G201" s="41">
        <f t="shared" si="129"/>
        <v>0</v>
      </c>
      <c r="H201" s="41">
        <f t="shared" si="129"/>
        <v>0</v>
      </c>
      <c r="I201" s="41">
        <f t="shared" si="129"/>
        <v>0</v>
      </c>
      <c r="J201" s="41">
        <f t="shared" si="129"/>
        <v>0</v>
      </c>
      <c r="K201" s="41">
        <f t="shared" si="129"/>
        <v>0</v>
      </c>
      <c r="L201" s="41">
        <f t="shared" si="129"/>
        <v>0</v>
      </c>
      <c r="M201" s="41">
        <f t="shared" si="129"/>
        <v>0</v>
      </c>
      <c r="N201" s="41">
        <f t="shared" si="129"/>
        <v>0</v>
      </c>
      <c r="O201" s="41">
        <f t="shared" si="129"/>
        <v>0</v>
      </c>
      <c r="P201" s="41">
        <f t="shared" si="129"/>
        <v>0</v>
      </c>
      <c r="Q201" s="41">
        <f t="shared" si="129"/>
        <v>0</v>
      </c>
      <c r="R201" s="41">
        <f t="shared" si="129"/>
        <v>0</v>
      </c>
      <c r="S201" s="41">
        <f t="shared" si="129"/>
        <v>0</v>
      </c>
      <c r="T201" s="41">
        <f t="shared" si="129"/>
        <v>0</v>
      </c>
      <c r="U201" s="41">
        <f t="shared" si="129"/>
        <v>0</v>
      </c>
      <c r="V201" s="41">
        <f t="shared" si="129"/>
        <v>0</v>
      </c>
      <c r="W201" s="41">
        <f t="shared" si="129"/>
        <v>0</v>
      </c>
      <c r="X201" s="41">
        <f t="shared" si="129"/>
        <v>0</v>
      </c>
      <c r="Y201" s="41">
        <f t="shared" si="129"/>
        <v>0</v>
      </c>
      <c r="Z201" s="41">
        <f t="shared" si="129"/>
        <v>0</v>
      </c>
      <c r="AA201" s="41">
        <f t="shared" si="129"/>
        <v>0</v>
      </c>
      <c r="AB201" s="41">
        <f t="shared" si="129"/>
        <v>0</v>
      </c>
      <c r="AC201" s="41">
        <f t="shared" si="129"/>
        <v>0</v>
      </c>
      <c r="AD201" s="41">
        <f t="shared" si="129"/>
        <v>0</v>
      </c>
      <c r="AE201" s="41">
        <f t="shared" si="129"/>
        <v>0</v>
      </c>
      <c r="AF201" s="41">
        <f t="shared" si="129"/>
        <v>0</v>
      </c>
      <c r="AG201" s="41">
        <f t="shared" si="129"/>
        <v>0</v>
      </c>
      <c r="AH201" s="41">
        <f t="shared" si="129"/>
        <v>0</v>
      </c>
      <c r="AI201" s="41">
        <f t="shared" si="129"/>
        <v>0</v>
      </c>
      <c r="AJ201" s="41">
        <f t="shared" si="129"/>
        <v>0</v>
      </c>
      <c r="AK201" s="41">
        <f t="shared" si="129"/>
        <v>0</v>
      </c>
      <c r="AL201" s="41">
        <f t="shared" si="129"/>
        <v>0</v>
      </c>
      <c r="AM201" s="41">
        <f t="shared" si="129"/>
        <v>0</v>
      </c>
      <c r="AN201" s="41">
        <f t="shared" si="129"/>
        <v>0</v>
      </c>
      <c r="AO201" s="41">
        <f t="shared" si="129"/>
        <v>0</v>
      </c>
      <c r="AP201" s="41">
        <f t="shared" si="129"/>
        <v>0</v>
      </c>
      <c r="AQ201" s="41">
        <f t="shared" si="129"/>
        <v>0</v>
      </c>
      <c r="AR201" s="41">
        <f t="shared" si="129"/>
        <v>0</v>
      </c>
      <c r="AS201" s="41">
        <f t="shared" si="129"/>
        <v>9000</v>
      </c>
      <c r="AT201" s="41">
        <f t="shared" si="129"/>
        <v>9000</v>
      </c>
      <c r="AU201" s="41">
        <f t="shared" si="129"/>
        <v>9000</v>
      </c>
      <c r="AV201" s="41">
        <f t="shared" si="129"/>
        <v>9000</v>
      </c>
      <c r="AW201" s="41">
        <f t="shared" si="129"/>
        <v>9000</v>
      </c>
      <c r="AX201" s="41">
        <f t="shared" si="129"/>
        <v>9000</v>
      </c>
      <c r="AY201" s="41">
        <f t="shared" si="129"/>
        <v>27000</v>
      </c>
      <c r="AZ201" s="41">
        <f t="shared" si="129"/>
        <v>27000</v>
      </c>
      <c r="BA201" s="41">
        <f t="shared" si="129"/>
        <v>27000</v>
      </c>
      <c r="BB201" s="41">
        <f t="shared" si="129"/>
        <v>40500</v>
      </c>
      <c r="BC201" s="41">
        <f t="shared" si="129"/>
        <v>40500</v>
      </c>
      <c r="BD201" s="41">
        <f t="shared" si="129"/>
        <v>40500</v>
      </c>
      <c r="BE201" s="41">
        <f t="shared" si="129"/>
        <v>76500</v>
      </c>
      <c r="BF201" s="41">
        <f t="shared" si="129"/>
        <v>76500</v>
      </c>
      <c r="BG201" s="41">
        <f t="shared" si="129"/>
        <v>76500</v>
      </c>
      <c r="BH201" s="41">
        <f t="shared" si="129"/>
        <v>112500</v>
      </c>
      <c r="BI201" s="41">
        <f t="shared" si="129"/>
        <v>112500</v>
      </c>
      <c r="BJ201" s="41">
        <f t="shared" si="129"/>
        <v>112500</v>
      </c>
      <c r="BK201" s="41">
        <f t="shared" si="129"/>
        <v>112500</v>
      </c>
      <c r="BL201" s="41">
        <f t="shared" si="129"/>
        <v>112500</v>
      </c>
      <c r="BM201" s="41">
        <f t="shared" si="129"/>
        <v>112500</v>
      </c>
      <c r="BN201" s="41">
        <f t="shared" si="129"/>
        <v>139500</v>
      </c>
      <c r="BO201" s="41">
        <f t="shared" si="129"/>
        <v>139500</v>
      </c>
      <c r="BP201" s="41">
        <f t="shared" si="129"/>
        <v>139500</v>
      </c>
      <c r="BQ201" s="41">
        <f t="shared" si="129"/>
        <v>211500</v>
      </c>
      <c r="BR201" s="41">
        <f t="shared" si="129"/>
        <v>211500</v>
      </c>
      <c r="BS201" s="41">
        <f t="shared" si="129"/>
        <v>211500</v>
      </c>
      <c r="BT201" s="41">
        <f t="shared" si="129"/>
        <v>283500</v>
      </c>
      <c r="BU201" s="41">
        <f t="shared" si="129"/>
        <v>283500</v>
      </c>
      <c r="BV201" s="41">
        <f t="shared" si="129"/>
        <v>283500</v>
      </c>
      <c r="BW201" s="41">
        <f t="shared" si="129"/>
        <v>283500</v>
      </c>
      <c r="BX201" s="41">
        <f t="shared" si="129"/>
        <v>283500</v>
      </c>
      <c r="BY201" s="41">
        <f t="shared" si="129"/>
        <v>283500</v>
      </c>
      <c r="BZ201" s="41">
        <f t="shared" si="129"/>
        <v>324000</v>
      </c>
      <c r="CA201" s="41">
        <f t="shared" si="129"/>
        <v>324000</v>
      </c>
      <c r="CB201" s="41">
        <f t="shared" si="129"/>
        <v>324000</v>
      </c>
      <c r="CC201" s="41">
        <f t="shared" si="129"/>
        <v>432000</v>
      </c>
      <c r="CD201" s="41">
        <f t="shared" si="129"/>
        <v>432000</v>
      </c>
      <c r="CE201" s="41">
        <f t="shared" si="129"/>
        <v>432000</v>
      </c>
      <c r="CF201" s="41">
        <f t="shared" si="129"/>
        <v>540000</v>
      </c>
      <c r="CG201" s="41">
        <f t="shared" si="129"/>
        <v>540000</v>
      </c>
      <c r="CH201" s="41">
        <f t="shared" si="129"/>
        <v>540000</v>
      </c>
      <c r="CI201" s="41">
        <f t="shared" si="129"/>
        <v>540000</v>
      </c>
      <c r="CJ201" s="41">
        <f t="shared" si="129"/>
        <v>540000</v>
      </c>
      <c r="CK201" s="41">
        <f t="shared" si="129"/>
        <v>540000</v>
      </c>
      <c r="CL201" s="41">
        <f t="shared" si="129"/>
        <v>594000</v>
      </c>
      <c r="CM201" s="41">
        <f t="shared" si="129"/>
        <v>594000</v>
      </c>
      <c r="CN201" s="41">
        <f t="shared" si="129"/>
        <v>594000</v>
      </c>
      <c r="CO201" s="41">
        <f t="shared" si="129"/>
        <v>738000</v>
      </c>
      <c r="CP201" s="41">
        <f t="shared" si="129"/>
        <v>738000</v>
      </c>
      <c r="CQ201" s="41">
        <f t="shared" si="129"/>
        <v>738000</v>
      </c>
      <c r="CR201" s="41">
        <f t="shared" si="129"/>
        <v>882000</v>
      </c>
      <c r="CS201" s="41">
        <f t="shared" si="129"/>
        <v>882000</v>
      </c>
      <c r="CT201" s="41">
        <f t="shared" si="129"/>
        <v>882000</v>
      </c>
      <c r="CU201" s="41">
        <f t="shared" si="129"/>
        <v>882000</v>
      </c>
    </row>
    <row r="202" spans="1:99" ht="15.75" customHeight="1" outlineLevel="3">
      <c r="A202" s="84"/>
      <c r="B202" s="28"/>
      <c r="C202" s="84" t="s">
        <v>118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360">
        <f>AS181+AS183+AR202</f>
        <v>2</v>
      </c>
      <c r="AT202" s="360">
        <f t="shared" ref="AT202:CU202" si="130">AT181+AT183+AS202</f>
        <v>2</v>
      </c>
      <c r="AU202" s="360">
        <f t="shared" si="130"/>
        <v>2</v>
      </c>
      <c r="AV202" s="360">
        <f t="shared" si="130"/>
        <v>2</v>
      </c>
      <c r="AW202" s="360">
        <f t="shared" si="130"/>
        <v>2</v>
      </c>
      <c r="AX202" s="360">
        <f t="shared" si="130"/>
        <v>2</v>
      </c>
      <c r="AY202" s="360">
        <f t="shared" si="130"/>
        <v>6</v>
      </c>
      <c r="AZ202" s="360">
        <f t="shared" si="130"/>
        <v>6</v>
      </c>
      <c r="BA202" s="360">
        <f t="shared" si="130"/>
        <v>6</v>
      </c>
      <c r="BB202" s="360">
        <f t="shared" si="130"/>
        <v>9</v>
      </c>
      <c r="BC202" s="360">
        <f t="shared" si="130"/>
        <v>9</v>
      </c>
      <c r="BD202" s="360">
        <f t="shared" si="130"/>
        <v>9</v>
      </c>
      <c r="BE202" s="360">
        <f t="shared" si="130"/>
        <v>17</v>
      </c>
      <c r="BF202" s="360">
        <f t="shared" si="130"/>
        <v>17</v>
      </c>
      <c r="BG202" s="360">
        <f t="shared" si="130"/>
        <v>17</v>
      </c>
      <c r="BH202" s="360">
        <f t="shared" si="130"/>
        <v>25</v>
      </c>
      <c r="BI202" s="360">
        <f t="shared" si="130"/>
        <v>25</v>
      </c>
      <c r="BJ202" s="360">
        <f t="shared" si="130"/>
        <v>25</v>
      </c>
      <c r="BK202" s="360">
        <f t="shared" si="130"/>
        <v>25</v>
      </c>
      <c r="BL202" s="360">
        <f t="shared" si="130"/>
        <v>25</v>
      </c>
      <c r="BM202" s="360">
        <f t="shared" si="130"/>
        <v>25</v>
      </c>
      <c r="BN202" s="360">
        <f t="shared" si="130"/>
        <v>31</v>
      </c>
      <c r="BO202" s="360">
        <f t="shared" si="130"/>
        <v>31</v>
      </c>
      <c r="BP202" s="360">
        <f t="shared" si="130"/>
        <v>31</v>
      </c>
      <c r="BQ202" s="360">
        <f t="shared" si="130"/>
        <v>47</v>
      </c>
      <c r="BR202" s="360">
        <f t="shared" si="130"/>
        <v>47</v>
      </c>
      <c r="BS202" s="360">
        <f t="shared" si="130"/>
        <v>47</v>
      </c>
      <c r="BT202" s="360">
        <f t="shared" si="130"/>
        <v>63</v>
      </c>
      <c r="BU202" s="360">
        <f t="shared" si="130"/>
        <v>63</v>
      </c>
      <c r="BV202" s="360">
        <f t="shared" si="130"/>
        <v>63</v>
      </c>
      <c r="BW202" s="360">
        <f t="shared" si="130"/>
        <v>63</v>
      </c>
      <c r="BX202" s="360">
        <f t="shared" si="130"/>
        <v>63</v>
      </c>
      <c r="BY202" s="360">
        <f t="shared" si="130"/>
        <v>63</v>
      </c>
      <c r="BZ202" s="360">
        <f t="shared" si="130"/>
        <v>72</v>
      </c>
      <c r="CA202" s="360">
        <f t="shared" si="130"/>
        <v>72</v>
      </c>
      <c r="CB202" s="360">
        <f t="shared" si="130"/>
        <v>72</v>
      </c>
      <c r="CC202" s="360">
        <f t="shared" si="130"/>
        <v>96</v>
      </c>
      <c r="CD202" s="360">
        <f t="shared" si="130"/>
        <v>96</v>
      </c>
      <c r="CE202" s="360">
        <f t="shared" si="130"/>
        <v>96</v>
      </c>
      <c r="CF202" s="360">
        <f t="shared" si="130"/>
        <v>120</v>
      </c>
      <c r="CG202" s="360">
        <f t="shared" si="130"/>
        <v>120</v>
      </c>
      <c r="CH202" s="360">
        <f t="shared" si="130"/>
        <v>120</v>
      </c>
      <c r="CI202" s="360">
        <f t="shared" si="130"/>
        <v>120</v>
      </c>
      <c r="CJ202" s="360">
        <f t="shared" si="130"/>
        <v>120</v>
      </c>
      <c r="CK202" s="360">
        <f t="shared" si="130"/>
        <v>120</v>
      </c>
      <c r="CL202" s="360">
        <f t="shared" si="130"/>
        <v>132</v>
      </c>
      <c r="CM202" s="360">
        <f t="shared" si="130"/>
        <v>132</v>
      </c>
      <c r="CN202" s="360">
        <f t="shared" si="130"/>
        <v>132</v>
      </c>
      <c r="CO202" s="360">
        <f t="shared" si="130"/>
        <v>164</v>
      </c>
      <c r="CP202" s="360">
        <f t="shared" si="130"/>
        <v>164</v>
      </c>
      <c r="CQ202" s="360">
        <f t="shared" si="130"/>
        <v>164</v>
      </c>
      <c r="CR202" s="360">
        <f t="shared" si="130"/>
        <v>196</v>
      </c>
      <c r="CS202" s="360">
        <f t="shared" si="130"/>
        <v>196</v>
      </c>
      <c r="CT202" s="360">
        <f t="shared" si="130"/>
        <v>196</v>
      </c>
      <c r="CU202" s="360">
        <f t="shared" si="130"/>
        <v>196</v>
      </c>
    </row>
    <row r="203" spans="1:99" ht="15.75" customHeight="1" outlineLevel="3">
      <c r="A203" s="84"/>
      <c r="B203" s="28"/>
      <c r="C203" s="84" t="s">
        <v>110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53">
        <v>4500</v>
      </c>
      <c r="AT203" s="53">
        <v>4500</v>
      </c>
      <c r="AU203" s="53">
        <v>4500</v>
      </c>
      <c r="AV203" s="53">
        <v>4500</v>
      </c>
      <c r="AW203" s="53">
        <v>4500</v>
      </c>
      <c r="AX203" s="53">
        <v>4500</v>
      </c>
      <c r="AY203" s="53">
        <v>4500</v>
      </c>
      <c r="AZ203" s="53">
        <v>4500</v>
      </c>
      <c r="BA203" s="53">
        <v>4500</v>
      </c>
      <c r="BB203" s="53">
        <v>4500</v>
      </c>
      <c r="BC203" s="53">
        <v>4500</v>
      </c>
      <c r="BD203" s="53">
        <v>4500</v>
      </c>
      <c r="BE203" s="53">
        <v>4500</v>
      </c>
      <c r="BF203" s="53">
        <v>4500</v>
      </c>
      <c r="BG203" s="53">
        <v>4500</v>
      </c>
      <c r="BH203" s="53">
        <v>4500</v>
      </c>
      <c r="BI203" s="53">
        <v>4500</v>
      </c>
      <c r="BJ203" s="53">
        <v>4500</v>
      </c>
      <c r="BK203" s="53">
        <v>4500</v>
      </c>
      <c r="BL203" s="53">
        <v>4500</v>
      </c>
      <c r="BM203" s="53">
        <v>4500</v>
      </c>
      <c r="BN203" s="53">
        <v>4500</v>
      </c>
      <c r="BO203" s="53">
        <v>4500</v>
      </c>
      <c r="BP203" s="53">
        <v>4500</v>
      </c>
      <c r="BQ203" s="53">
        <v>4500</v>
      </c>
      <c r="BR203" s="53">
        <v>4500</v>
      </c>
      <c r="BS203" s="53">
        <v>4500</v>
      </c>
      <c r="BT203" s="53">
        <v>4500</v>
      </c>
      <c r="BU203" s="53">
        <v>4500</v>
      </c>
      <c r="BV203" s="53">
        <v>4500</v>
      </c>
      <c r="BW203" s="53">
        <v>4500</v>
      </c>
      <c r="BX203" s="53">
        <v>4500</v>
      </c>
      <c r="BY203" s="53">
        <v>4500</v>
      </c>
      <c r="BZ203" s="53">
        <v>4500</v>
      </c>
      <c r="CA203" s="53">
        <v>4500</v>
      </c>
      <c r="CB203" s="53">
        <v>4500</v>
      </c>
      <c r="CC203" s="53">
        <v>4500</v>
      </c>
      <c r="CD203" s="53">
        <v>4500</v>
      </c>
      <c r="CE203" s="53">
        <v>4500</v>
      </c>
      <c r="CF203" s="53">
        <v>4500</v>
      </c>
      <c r="CG203" s="53">
        <v>4500</v>
      </c>
      <c r="CH203" s="53">
        <v>4500</v>
      </c>
      <c r="CI203" s="53">
        <v>4500</v>
      </c>
      <c r="CJ203" s="53">
        <v>4500</v>
      </c>
      <c r="CK203" s="53">
        <v>4500</v>
      </c>
      <c r="CL203" s="53">
        <v>4500</v>
      </c>
      <c r="CM203" s="53">
        <v>4500</v>
      </c>
      <c r="CN203" s="53">
        <v>4500</v>
      </c>
      <c r="CO203" s="53">
        <v>4500</v>
      </c>
      <c r="CP203" s="53">
        <v>4500</v>
      </c>
      <c r="CQ203" s="53">
        <v>4500</v>
      </c>
      <c r="CR203" s="53">
        <v>4500</v>
      </c>
      <c r="CS203" s="53">
        <v>4500</v>
      </c>
      <c r="CT203" s="53">
        <v>4500</v>
      </c>
      <c r="CU203" s="53">
        <v>4500</v>
      </c>
    </row>
    <row r="204" spans="1:99" ht="15.75" customHeight="1" outlineLevel="1">
      <c r="A204" s="8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O204" s="21"/>
      <c r="AP204" s="21"/>
      <c r="AQ204" s="21"/>
      <c r="AS204" s="21"/>
      <c r="AT204" s="21"/>
      <c r="AU204" s="21"/>
      <c r="AV204" s="21"/>
      <c r="AW204" s="21"/>
      <c r="AX204" s="21"/>
      <c r="AY204" s="21"/>
      <c r="AZ204" s="64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64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64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64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</row>
    <row r="205" spans="1:99" ht="15.75" customHeight="1" outlineLevel="1" thickBot="1">
      <c r="A205" s="84"/>
      <c r="B205" s="21"/>
      <c r="C205" s="29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O205" s="21"/>
      <c r="AP205" s="21"/>
      <c r="AQ205" s="21"/>
      <c r="AS205" s="21"/>
      <c r="AT205" s="21"/>
      <c r="AU205" s="21"/>
      <c r="AV205" s="21"/>
      <c r="AW205" s="21"/>
      <c r="AX205" s="21"/>
      <c r="AY205" s="21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</row>
    <row r="206" spans="1:99" ht="15.75" customHeight="1" thickBot="1">
      <c r="A206" s="84"/>
      <c r="B206" s="21"/>
      <c r="C206" s="21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O206" s="21"/>
      <c r="AP206" s="21"/>
      <c r="AQ206" s="21"/>
      <c r="AS206" s="67"/>
      <c r="AT206" s="67"/>
      <c r="AU206" s="67"/>
      <c r="AV206" s="67"/>
      <c r="AW206" s="67"/>
      <c r="AX206" s="67"/>
      <c r="AY206" s="6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</row>
    <row r="207" spans="1:99" ht="15.75" customHeight="1" thickBot="1">
      <c r="A207" s="84"/>
      <c r="B207" s="21"/>
      <c r="C207" s="21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O207" s="21"/>
      <c r="AP207" s="21"/>
      <c r="AQ207" s="21"/>
      <c r="AS207" s="54"/>
      <c r="AT207" s="54"/>
      <c r="AU207" s="54"/>
      <c r="AV207" s="54"/>
      <c r="AW207" s="54"/>
      <c r="AX207" s="54"/>
      <c r="AY207" s="54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</row>
    <row r="208" spans="1:99" ht="15.75" customHeight="1" thickBot="1">
      <c r="A208" s="84"/>
      <c r="B208" s="21"/>
      <c r="C208" s="21"/>
      <c r="D208" s="69"/>
      <c r="E208" s="69"/>
      <c r="F208" s="69"/>
      <c r="G208" s="69"/>
      <c r="H208" s="69"/>
      <c r="I208" s="69"/>
      <c r="J208" s="69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O208" s="21"/>
      <c r="AP208" s="21"/>
      <c r="AQ208" s="21"/>
      <c r="AS208" s="67"/>
      <c r="AT208" s="67"/>
      <c r="AU208" s="67"/>
      <c r="AV208" s="67"/>
      <c r="AW208" s="67"/>
      <c r="AX208" s="67"/>
      <c r="AY208" s="6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</row>
    <row r="209" spans="1:99" ht="15.75" customHeight="1">
      <c r="A209" s="84"/>
      <c r="B209" s="21"/>
      <c r="C209" s="21"/>
      <c r="D209" s="71"/>
      <c r="E209" s="71"/>
      <c r="F209" s="71"/>
      <c r="G209" s="71"/>
      <c r="H209" s="71"/>
      <c r="I209" s="71"/>
      <c r="J209" s="71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O209" s="21"/>
      <c r="AP209" s="21"/>
      <c r="AQ209" s="21"/>
      <c r="AS209" s="21"/>
      <c r="AT209" s="21"/>
      <c r="AU209" s="21"/>
      <c r="AV209" s="21"/>
      <c r="AW209" s="21"/>
      <c r="AX209" s="21"/>
      <c r="AY209" s="21"/>
      <c r="AZ209" s="64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64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64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64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</row>
    <row r="210" spans="1:99" ht="15.75" customHeight="1">
      <c r="A210" s="84"/>
      <c r="B210" s="21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O210" s="21"/>
      <c r="AP210" s="21"/>
      <c r="AQ210" s="21"/>
      <c r="AS210" s="21"/>
      <c r="AT210" s="21"/>
      <c r="AU210" s="21"/>
      <c r="AV210" s="21"/>
      <c r="AW210" s="21"/>
      <c r="AX210" s="21"/>
      <c r="AY210" s="21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</row>
    <row r="211" spans="1:99" ht="15.75" customHeight="1">
      <c r="A211" s="84"/>
      <c r="B211" s="21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O211" s="21"/>
      <c r="AP211" s="21"/>
      <c r="AQ211" s="21"/>
      <c r="AS211" s="21"/>
      <c r="AT211" s="21"/>
      <c r="AU211" s="21"/>
      <c r="AV211" s="21"/>
      <c r="AW211" s="21"/>
      <c r="AX211" s="21"/>
      <c r="AY211" s="21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</row>
    <row r="212" spans="1:99" ht="15.75" customHeight="1" thickBot="1">
      <c r="A212" s="84"/>
      <c r="B212" s="21"/>
      <c r="C212" s="21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O212" s="21"/>
      <c r="AP212" s="21"/>
      <c r="AQ212" s="21"/>
      <c r="AS212" s="21"/>
      <c r="AT212" s="21"/>
      <c r="AU212" s="21"/>
      <c r="AV212" s="21"/>
      <c r="AW212" s="21"/>
      <c r="AX212" s="21"/>
      <c r="AY212" s="21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</row>
    <row r="213" spans="1:99" ht="15.75" customHeight="1" thickBot="1">
      <c r="A213" s="84"/>
      <c r="B213" s="21"/>
      <c r="C213" s="21"/>
      <c r="D213" s="69"/>
      <c r="E213" s="69"/>
      <c r="F213" s="69"/>
      <c r="G213" s="69"/>
      <c r="H213" s="69"/>
      <c r="I213" s="69"/>
      <c r="J213" s="69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O213" s="21"/>
      <c r="AP213" s="21"/>
      <c r="AQ213" s="21"/>
      <c r="AS213" s="21"/>
      <c r="AT213" s="21"/>
      <c r="AU213" s="21"/>
      <c r="AV213" s="21"/>
      <c r="AW213" s="21"/>
      <c r="AX213" s="21"/>
      <c r="AY213" s="21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</row>
    <row r="214" spans="1:99" ht="15.75" customHeight="1">
      <c r="A214" s="84"/>
      <c r="B214" s="21"/>
      <c r="C214" s="21"/>
      <c r="D214" s="71"/>
      <c r="E214" s="71"/>
      <c r="F214" s="71"/>
      <c r="G214" s="71"/>
      <c r="H214" s="71"/>
      <c r="I214" s="71"/>
      <c r="J214" s="71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O214" s="21"/>
      <c r="AP214" s="21"/>
      <c r="AQ214" s="21"/>
      <c r="AS214" s="21"/>
      <c r="AT214" s="21"/>
      <c r="AU214" s="21"/>
      <c r="AV214" s="21"/>
      <c r="AW214" s="21"/>
      <c r="AX214" s="21"/>
      <c r="AY214" s="21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</row>
    <row r="215" spans="1:99" ht="15.75" customHeight="1" thickBot="1">
      <c r="A215" s="84"/>
      <c r="B215" s="21"/>
      <c r="AO215" s="21"/>
      <c r="AP215" s="21"/>
      <c r="AQ215" s="21"/>
      <c r="AS215" s="21"/>
      <c r="AT215" s="21"/>
      <c r="AU215" s="21"/>
      <c r="AV215" s="21"/>
      <c r="AW215" s="21"/>
      <c r="AX215" s="21"/>
      <c r="AY215" s="21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</row>
    <row r="216" spans="1:99" ht="15.75" customHeight="1" thickBot="1">
      <c r="A216" s="84"/>
      <c r="B216" s="21"/>
      <c r="C216" s="29"/>
      <c r="D216" s="70"/>
      <c r="E216" s="70"/>
      <c r="F216" s="70"/>
      <c r="G216" s="70"/>
      <c r="H216" s="70"/>
      <c r="I216" s="70"/>
      <c r="J216" s="70"/>
      <c r="K216" s="70"/>
      <c r="L216" s="70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O216" s="21"/>
      <c r="AP216" s="21"/>
      <c r="AQ216" s="21"/>
      <c r="AS216" s="21"/>
      <c r="AT216" s="21"/>
      <c r="AU216" s="21"/>
      <c r="AV216" s="21"/>
      <c r="AW216" s="21"/>
      <c r="AX216" s="21"/>
      <c r="AY216" s="21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72"/>
      <c r="CM216" s="17"/>
      <c r="CN216" s="17"/>
      <c r="CO216" s="17"/>
      <c r="CP216" s="17"/>
      <c r="CQ216" s="17"/>
      <c r="CR216" s="17"/>
      <c r="CS216" s="17"/>
      <c r="CT216" s="17"/>
      <c r="CU216" s="17"/>
    </row>
    <row r="217" spans="1:99" ht="15.75" customHeight="1">
      <c r="A217" s="84"/>
      <c r="B217" s="21"/>
      <c r="C217" s="21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O217" s="21"/>
      <c r="AP217" s="21"/>
      <c r="AQ217" s="21"/>
      <c r="AS217" s="21"/>
      <c r="AT217" s="21"/>
      <c r="AU217" s="21"/>
      <c r="AV217" s="21"/>
      <c r="AW217" s="21"/>
      <c r="AX217" s="21"/>
      <c r="AY217" s="21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</row>
    <row r="218" spans="1:99" ht="15.75" customHeight="1">
      <c r="A218" s="84"/>
      <c r="B218" s="21"/>
      <c r="C218" s="21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O218" s="21"/>
      <c r="AP218" s="21"/>
      <c r="AQ218" s="21"/>
      <c r="AS218" s="21"/>
      <c r="AT218" s="21"/>
      <c r="AU218" s="21"/>
      <c r="AV218" s="21"/>
      <c r="AW218" s="21"/>
      <c r="AX218" s="21"/>
      <c r="AY218" s="21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</row>
    <row r="219" spans="1:99" ht="15.75" customHeight="1">
      <c r="A219" s="84"/>
      <c r="B219" s="21"/>
      <c r="C219" s="21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O219" s="21"/>
      <c r="AP219" s="21"/>
      <c r="AQ219" s="21"/>
      <c r="AS219" s="21"/>
      <c r="AT219" s="21"/>
      <c r="AU219" s="21"/>
      <c r="AV219" s="21"/>
      <c r="AW219" s="21"/>
      <c r="AX219" s="21"/>
      <c r="AY219" s="21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</row>
    <row r="220" spans="1:99" ht="15.75" customHeight="1">
      <c r="A220" s="84"/>
      <c r="B220" s="21"/>
      <c r="C220" s="21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O220" s="21"/>
      <c r="AP220" s="21"/>
      <c r="AQ220" s="21"/>
      <c r="AS220" s="21"/>
      <c r="AT220" s="21"/>
      <c r="AU220" s="21"/>
      <c r="AV220" s="21"/>
      <c r="AW220" s="21"/>
      <c r="AX220" s="21"/>
      <c r="AY220" s="21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</row>
    <row r="221" spans="1:99" ht="15.75" customHeight="1">
      <c r="A221" s="84"/>
      <c r="B221" s="21"/>
      <c r="C221" s="21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O221" s="21"/>
      <c r="AP221" s="21"/>
      <c r="AQ221" s="21"/>
      <c r="AS221" s="21"/>
      <c r="AT221" s="21"/>
      <c r="AU221" s="21"/>
      <c r="AV221" s="21"/>
      <c r="AW221" s="21"/>
      <c r="AX221" s="21"/>
      <c r="AY221" s="21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</row>
    <row r="222" spans="1:99" ht="15.75" customHeight="1">
      <c r="A222" s="84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O222" s="21"/>
      <c r="AP222" s="21"/>
      <c r="AQ222" s="21"/>
      <c r="AS222" s="21"/>
      <c r="AT222" s="21"/>
      <c r="AU222" s="21"/>
      <c r="AV222" s="21"/>
      <c r="AW222" s="21"/>
      <c r="AX222" s="21"/>
      <c r="AY222" s="21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</row>
    <row r="223" spans="1:99" ht="15.75" customHeight="1">
      <c r="A223" s="84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O223" s="21"/>
      <c r="AP223" s="21"/>
      <c r="AQ223" s="21"/>
      <c r="AS223" s="21"/>
      <c r="AT223" s="21"/>
      <c r="AU223" s="21"/>
      <c r="AV223" s="21"/>
      <c r="AW223" s="21"/>
      <c r="AX223" s="21"/>
      <c r="AY223" s="21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</row>
    <row r="224" spans="1:99" ht="15.75" customHeight="1">
      <c r="A224" s="84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S224" s="21"/>
      <c r="AT224" s="21"/>
      <c r="AU224" s="21"/>
      <c r="AV224" s="21"/>
      <c r="AW224" s="21"/>
      <c r="AX224" s="21"/>
      <c r="AY224" s="21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</row>
    <row r="225" spans="1:99" ht="15.75" customHeight="1">
      <c r="A225" s="84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S225" s="21"/>
      <c r="AT225" s="21"/>
      <c r="AU225" s="21"/>
      <c r="AV225" s="21"/>
      <c r="AW225" s="21"/>
      <c r="AX225" s="21"/>
      <c r="AY225" s="21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</row>
    <row r="226" spans="1:99" ht="15.75" customHeight="1">
      <c r="A226" s="84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S226" s="21"/>
      <c r="AT226" s="21"/>
      <c r="AU226" s="21"/>
      <c r="AV226" s="21"/>
      <c r="AW226" s="21"/>
      <c r="AX226" s="21"/>
      <c r="AY226" s="21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</row>
    <row r="227" spans="1:99" ht="15.75" customHeight="1">
      <c r="A227" s="84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S227" s="21"/>
      <c r="AT227" s="21"/>
      <c r="AU227" s="21"/>
      <c r="AV227" s="21"/>
      <c r="AW227" s="21"/>
      <c r="AX227" s="21"/>
      <c r="AY227" s="21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</row>
    <row r="228" spans="1:99" ht="15.75" customHeight="1">
      <c r="A228" s="84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S228" s="21"/>
      <c r="AT228" s="21"/>
      <c r="AU228" s="21"/>
      <c r="AV228" s="21"/>
      <c r="AW228" s="21"/>
      <c r="AX228" s="21"/>
      <c r="AY228" s="21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</row>
    <row r="229" spans="1:99" ht="15.75" customHeight="1">
      <c r="A229" s="84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S229" s="21"/>
      <c r="AT229" s="21"/>
      <c r="AU229" s="21"/>
      <c r="AV229" s="21"/>
      <c r="AW229" s="21"/>
      <c r="AX229" s="21"/>
      <c r="AY229" s="21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</row>
    <row r="230" spans="1:99" ht="15.75" customHeight="1">
      <c r="A230" s="84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S230" s="21"/>
      <c r="AT230" s="21"/>
      <c r="AU230" s="21"/>
      <c r="AV230" s="21"/>
      <c r="AW230" s="21"/>
      <c r="AX230" s="21"/>
      <c r="AY230" s="21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</row>
    <row r="231" spans="1:99" ht="15.75" customHeight="1">
      <c r="A231" s="84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S231" s="21"/>
      <c r="AT231" s="21"/>
      <c r="AU231" s="21"/>
      <c r="AV231" s="21"/>
      <c r="AW231" s="21"/>
      <c r="AX231" s="21"/>
      <c r="AY231" s="21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</row>
    <row r="232" spans="1:99" ht="15.75" customHeight="1">
      <c r="A232" s="84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S232" s="21"/>
      <c r="AT232" s="21"/>
      <c r="AU232" s="21"/>
      <c r="AV232" s="21"/>
      <c r="AW232" s="21"/>
      <c r="AX232" s="21"/>
      <c r="AY232" s="21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</row>
    <row r="233" spans="1:99" ht="15.75" customHeight="1">
      <c r="A233" s="84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S233" s="21"/>
      <c r="AT233" s="21"/>
      <c r="AU233" s="21"/>
      <c r="AV233" s="21"/>
      <c r="AW233" s="21"/>
      <c r="AX233" s="21"/>
      <c r="AY233" s="21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</row>
    <row r="234" spans="1:99" ht="15.75" customHeight="1">
      <c r="A234" s="84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S234" s="21"/>
      <c r="AT234" s="21"/>
      <c r="AU234" s="21"/>
      <c r="AV234" s="21"/>
      <c r="AW234" s="21"/>
      <c r="AX234" s="21"/>
      <c r="AY234" s="21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</row>
    <row r="235" spans="1:99" ht="15.75" customHeight="1">
      <c r="A235" s="84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</row>
    <row r="236" spans="1:99" ht="15.75" customHeight="1"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</row>
    <row r="237" spans="1:99" ht="15.75" customHeight="1"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</row>
    <row r="238" spans="1:99" ht="15.75" customHeight="1"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</row>
    <row r="239" spans="1:99" ht="15.75" customHeight="1"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</row>
    <row r="240" spans="1:99" ht="15.75" customHeight="1"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</row>
    <row r="241" spans="52:99" ht="15.75" customHeight="1"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</row>
    <row r="242" spans="52:99" ht="15.75" customHeight="1"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</row>
    <row r="243" spans="52:99" ht="15.75" customHeight="1"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</row>
    <row r="244" spans="52:99" ht="15.75" customHeight="1"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</row>
    <row r="245" spans="52:99" ht="15.75" customHeight="1"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</row>
    <row r="246" spans="52:99" ht="15.75" customHeight="1"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</row>
    <row r="247" spans="52:99" ht="15.75" customHeight="1"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</row>
    <row r="248" spans="52:99" ht="15.75" customHeight="1"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</row>
    <row r="249" spans="52:99" ht="15.75" customHeight="1"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</row>
    <row r="250" spans="52:99" ht="15.75" customHeight="1"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</row>
    <row r="251" spans="52:99" ht="15.75" customHeight="1"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</row>
    <row r="252" spans="52:99" ht="15.75" customHeight="1"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</row>
    <row r="253" spans="52:99" ht="15.75" customHeight="1"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</row>
    <row r="254" spans="52:99" ht="15.75" customHeight="1"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</row>
    <row r="255" spans="52:99" ht="15.75" customHeight="1"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</row>
    <row r="256" spans="52:99" ht="15.75" customHeight="1"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</row>
    <row r="257" spans="52:99" ht="15.75" customHeight="1"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</row>
    <row r="258" spans="52:99" ht="15.75" customHeight="1"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</row>
    <row r="259" spans="52:99" ht="15.75" customHeight="1"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</row>
    <row r="260" spans="52:99" ht="15.75" customHeight="1"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</row>
    <row r="261" spans="52:99" ht="15.75" customHeight="1"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</row>
    <row r="262" spans="52:99" ht="15.75" customHeight="1"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</row>
    <row r="263" spans="52:99" ht="15.75" customHeight="1"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</row>
    <row r="264" spans="52:99" ht="15.75" customHeight="1"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</row>
    <row r="265" spans="52:99" ht="15.75" customHeight="1"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</row>
    <row r="266" spans="52:99" ht="15.75" customHeight="1"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</row>
    <row r="267" spans="52:99" ht="15.75" customHeight="1"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</row>
    <row r="268" spans="52:99" ht="15.75" customHeight="1"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</row>
    <row r="269" spans="52:99" ht="15.75" customHeight="1"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</row>
    <row r="270" spans="52:99" ht="15.75" customHeight="1"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</row>
    <row r="271" spans="52:99" ht="15.75" customHeight="1"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</row>
    <row r="272" spans="52:99" ht="15.75" customHeight="1"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</row>
    <row r="273" spans="52:99" ht="15.75" customHeight="1"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</row>
    <row r="274" spans="52:99" ht="15.75" customHeight="1"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</row>
    <row r="275" spans="52:99" ht="15.75" customHeight="1"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</row>
    <row r="276" spans="52:99" ht="15.75" customHeight="1"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</row>
    <row r="277" spans="52:99" ht="15.75" customHeight="1"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</row>
    <row r="278" spans="52:99" ht="15.75" customHeight="1"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</row>
    <row r="279" spans="52:99" ht="15.75" customHeight="1"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</row>
    <row r="280" spans="52:99" ht="15.75" customHeight="1"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</row>
    <row r="281" spans="52:99" ht="15.75" customHeight="1"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</row>
    <row r="282" spans="52:99" ht="15.75" customHeight="1"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</row>
    <row r="283" spans="52:99" ht="15.75" customHeight="1"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</row>
    <row r="284" spans="52:99" ht="15.75" customHeight="1"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</row>
    <row r="285" spans="52:99" ht="15.75" customHeight="1"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</row>
    <row r="286" spans="52:99" ht="15.75" customHeight="1"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</row>
    <row r="287" spans="52:99" ht="15.75" customHeight="1"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</row>
    <row r="288" spans="52:99" ht="15.75" customHeight="1"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</row>
    <row r="289" spans="52:99" ht="15.75" customHeight="1"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</row>
    <row r="290" spans="52:99" ht="15.75" customHeight="1"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</row>
    <row r="291" spans="52:99" ht="15.75" customHeight="1"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</row>
    <row r="292" spans="52:99" ht="15.75" customHeight="1"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</row>
    <row r="293" spans="52:99" ht="15.75" customHeight="1"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</row>
    <row r="294" spans="52:99" ht="15.75" customHeight="1"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</row>
    <row r="295" spans="52:99" ht="15.75" customHeight="1"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</row>
    <row r="296" spans="52:99" ht="15.75" customHeight="1"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</row>
    <row r="297" spans="52:99" ht="15.75" customHeight="1"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</row>
    <row r="298" spans="52:99" ht="15.75" customHeight="1"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</row>
    <row r="299" spans="52:99" ht="15.75" customHeight="1"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</row>
    <row r="300" spans="52:99" ht="15.75" customHeight="1"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</row>
    <row r="301" spans="52:99" ht="15.75" customHeight="1"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</row>
    <row r="302" spans="52:99" ht="15.75" customHeight="1"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</row>
    <row r="303" spans="52:99" ht="15.75" customHeight="1"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</row>
    <row r="304" spans="52:99" ht="15.75" customHeight="1"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</row>
    <row r="305" spans="52:99" ht="15.75" customHeight="1"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</row>
    <row r="306" spans="52:99" ht="15.75" customHeight="1"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</row>
    <row r="307" spans="52:99" ht="15.75" customHeight="1"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</row>
    <row r="308" spans="52:99" ht="15.75" customHeight="1"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</row>
    <row r="309" spans="52:99" ht="15.75" customHeight="1"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</row>
    <row r="310" spans="52:99" ht="15.75" customHeight="1"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</row>
    <row r="311" spans="52:99" ht="15.75" customHeight="1"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</row>
    <row r="312" spans="52:99" ht="15.75" customHeight="1"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</row>
    <row r="313" spans="52:99" ht="15.75" customHeight="1"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</row>
    <row r="314" spans="52:99" ht="15.75" customHeight="1"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</row>
    <row r="315" spans="52:99" ht="15.75" customHeight="1"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</row>
    <row r="316" spans="52:99" ht="15.75" customHeight="1"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</row>
    <row r="317" spans="52:99" ht="15.75" customHeight="1"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</row>
    <row r="318" spans="52:99" ht="15.75" customHeight="1"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</row>
    <row r="319" spans="52:99" ht="15.75" customHeight="1"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</row>
    <row r="320" spans="52:99" ht="15.75" customHeight="1"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</row>
    <row r="321" spans="52:99" ht="15.75" customHeight="1"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</row>
    <row r="322" spans="52:99" ht="15.75" customHeight="1"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</row>
    <row r="323" spans="52:99" ht="15.75" customHeight="1"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</row>
    <row r="324" spans="52:99" ht="15.75" customHeight="1"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</row>
    <row r="325" spans="52:99" ht="15.75" customHeight="1"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</row>
    <row r="326" spans="52:99" ht="15.75" customHeight="1"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</row>
    <row r="327" spans="52:99" ht="15.75" customHeight="1"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</row>
    <row r="328" spans="52:99" ht="15.75" customHeight="1"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</row>
    <row r="329" spans="52:99" ht="15.75" customHeight="1"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</row>
    <row r="330" spans="52:99" ht="15.75" customHeight="1"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</row>
    <row r="331" spans="52:99" ht="15.75" customHeight="1"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</row>
    <row r="332" spans="52:99" ht="15.75" customHeight="1"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</row>
    <row r="333" spans="52:99" ht="15.75" customHeight="1"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</row>
    <row r="334" spans="52:99" ht="15.75" customHeight="1"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</row>
    <row r="335" spans="52:99" ht="15.75" customHeight="1"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</row>
    <row r="336" spans="52:99" ht="15.75" customHeight="1"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</row>
    <row r="337" spans="52:99" ht="15.75" customHeight="1"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</row>
    <row r="338" spans="52:99" ht="15.75" customHeight="1"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</row>
    <row r="339" spans="52:99" ht="15.75" customHeight="1"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</row>
    <row r="340" spans="52:99" ht="15.75" customHeight="1"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</row>
    <row r="341" spans="52:99" ht="15.75" customHeight="1"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</row>
    <row r="342" spans="52:99" ht="15.75" customHeight="1"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</row>
    <row r="343" spans="52:99" ht="15.75" customHeight="1"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</row>
    <row r="344" spans="52:99" ht="15.75" customHeight="1"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</row>
    <row r="345" spans="52:99" ht="15.75" customHeight="1"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</row>
    <row r="346" spans="52:99" ht="15.75" customHeight="1"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</row>
    <row r="347" spans="52:99" ht="15.75" customHeight="1"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</row>
    <row r="348" spans="52:99" ht="15.75" customHeight="1"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</row>
    <row r="349" spans="52:99" ht="15.75" customHeight="1"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</row>
    <row r="350" spans="52:99" ht="15.75" customHeight="1"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</row>
    <row r="351" spans="52:99" ht="15.75" customHeight="1"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</row>
    <row r="352" spans="52:99" ht="15.75" customHeight="1"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</row>
    <row r="353" spans="52:99" ht="15.75" customHeight="1"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</row>
    <row r="354" spans="52:99" ht="15.75" customHeight="1"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</row>
    <row r="355" spans="52:99" ht="15.75" customHeight="1"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</row>
    <row r="356" spans="52:99" ht="15.75" customHeight="1"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</row>
    <row r="357" spans="52:99" ht="15.75" customHeight="1"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</row>
    <row r="358" spans="52:99" ht="15.75" customHeight="1"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</row>
    <row r="359" spans="52:99" ht="15.75" customHeight="1"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</row>
    <row r="360" spans="52:99" ht="15.75" customHeight="1"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</row>
    <row r="361" spans="52:99" ht="15.75" customHeight="1"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</row>
    <row r="362" spans="52:99" ht="15.75" customHeight="1"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</row>
    <row r="363" spans="52:99" ht="15.75" customHeight="1"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</row>
    <row r="364" spans="52:99" ht="15.75" customHeight="1"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</row>
    <row r="365" spans="52:99" ht="15.75" customHeight="1"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</row>
    <row r="366" spans="52:99" ht="15.75" customHeight="1"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</row>
    <row r="367" spans="52:99" ht="15.75" customHeight="1"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</row>
    <row r="368" spans="52:99" ht="15.75" customHeight="1"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</row>
    <row r="369" spans="52:99" ht="15.75" customHeight="1"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</row>
    <row r="370" spans="52:99" ht="15.75" customHeight="1"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</row>
    <row r="371" spans="52:99" ht="15.75" customHeight="1"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</row>
    <row r="372" spans="52:99" ht="15.75" customHeight="1"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</row>
    <row r="373" spans="52:99" ht="15.75" customHeight="1"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</row>
    <row r="374" spans="52:99" ht="15.75" customHeight="1"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</row>
    <row r="375" spans="52:99" ht="15.75" customHeight="1"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</row>
    <row r="376" spans="52:99" ht="15.75" customHeight="1"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</row>
    <row r="377" spans="52:99" ht="15.75" customHeight="1"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</row>
    <row r="378" spans="52:99" ht="15.75" customHeight="1"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</row>
    <row r="379" spans="52:99" ht="15.75" customHeight="1"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</row>
    <row r="380" spans="52:99" ht="15.75" customHeight="1"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</row>
    <row r="381" spans="52:99" ht="15.75" customHeight="1"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</row>
    <row r="382" spans="52:99" ht="15.75" customHeight="1"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</row>
    <row r="383" spans="52:99" ht="15.75" customHeight="1"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</row>
    <row r="384" spans="52:99" ht="15.75" customHeight="1"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</row>
    <row r="385" spans="52:99" ht="15.75" customHeight="1"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</row>
    <row r="386" spans="52:99" ht="15.75" customHeight="1"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</row>
    <row r="387" spans="52:99" ht="15.75" customHeight="1"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</row>
    <row r="388" spans="52:99" ht="15.75" customHeight="1"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</row>
    <row r="389" spans="52:99" ht="15.75" customHeight="1"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</row>
    <row r="390" spans="52:99" ht="15.75" customHeight="1"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</row>
    <row r="391" spans="52:99" ht="15.75" customHeight="1"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</row>
    <row r="392" spans="52:99" ht="15.75" customHeight="1"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</row>
    <row r="393" spans="52:99" ht="15.75" customHeight="1"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</row>
    <row r="394" spans="52:99" ht="15.75" customHeight="1"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</row>
    <row r="395" spans="52:99" ht="15.75" customHeight="1"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</row>
    <row r="396" spans="52:99" ht="15.75" customHeight="1"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</row>
    <row r="397" spans="52:99" ht="15.75" customHeight="1"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</row>
    <row r="398" spans="52:99" ht="15.75" customHeight="1"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</row>
    <row r="399" spans="52:99" ht="15.75" customHeight="1"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</row>
    <row r="400" spans="52:99" ht="15.75" customHeight="1"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</row>
    <row r="401" spans="52:99" ht="15.75" customHeight="1"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</row>
    <row r="402" spans="52:99" ht="15.75" customHeight="1"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</row>
    <row r="403" spans="52:99" ht="15.75" customHeight="1"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</row>
    <row r="404" spans="52:99" ht="15.75" customHeight="1"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</row>
    <row r="405" spans="52:99" ht="12.75"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</row>
    <row r="406" spans="52:99" ht="12.75"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</row>
    <row r="407" spans="52:99" ht="12.75"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</row>
    <row r="408" spans="52:99" ht="12.75"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</row>
    <row r="409" spans="52:99" ht="12.75"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</row>
    <row r="410" spans="52:99" ht="12.75"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</row>
    <row r="411" spans="52:99" ht="12.75"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</row>
    <row r="412" spans="52:99" ht="12.75"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</row>
    <row r="413" spans="52:99" ht="12.75"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</row>
    <row r="414" spans="52:99" ht="12.75"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</row>
    <row r="415" spans="52:99" ht="12.75"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</row>
    <row r="416" spans="52:99" ht="12.75"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</row>
    <row r="417" spans="64:99" ht="12.75"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</row>
    <row r="418" spans="64:99" ht="12.75"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</row>
    <row r="419" spans="64:99" ht="12.75"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</row>
    <row r="420" spans="64:99" ht="12.75"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</row>
    <row r="421" spans="64:99" ht="12.75"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</row>
    <row r="422" spans="64:99" ht="12.75"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</row>
    <row r="423" spans="64:99" ht="12.75"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</row>
    <row r="424" spans="64:99" ht="12.75"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</row>
    <row r="425" spans="64:99" ht="12.75"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</row>
    <row r="426" spans="64:99" ht="12.75"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</row>
    <row r="427" spans="64:99" ht="12.75"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</row>
    <row r="428" spans="64:99" ht="12.75"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</row>
    <row r="429" spans="64:99" ht="12.75"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</row>
    <row r="430" spans="64:99" ht="12.75"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</row>
    <row r="431" spans="64:99" ht="12.75"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</row>
    <row r="432" spans="64:99" ht="12.75"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</row>
    <row r="433" spans="64:99" ht="12.75"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</row>
    <row r="434" spans="64:99" ht="12.75"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</row>
    <row r="435" spans="64:99" ht="12.75"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</row>
    <row r="436" spans="64:99" ht="12.75"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</row>
    <row r="437" spans="64:99" ht="12.75"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</row>
    <row r="438" spans="64:99" ht="12.75"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</row>
    <row r="439" spans="64:99" ht="12.75"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</row>
    <row r="440" spans="64:99" ht="12.75"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</row>
    <row r="441" spans="64:99" ht="12.75"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</row>
    <row r="442" spans="64:99" ht="12.75"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</row>
  </sheetData>
  <mergeCells count="9">
    <mergeCell ref="AZ8:BK8"/>
    <mergeCell ref="BL8:BW8"/>
    <mergeCell ref="BX8:CI8"/>
    <mergeCell ref="CJ8:CU8"/>
    <mergeCell ref="B1:C5"/>
    <mergeCell ref="D8:O8"/>
    <mergeCell ref="P8:AA8"/>
    <mergeCell ref="AB8:AM8"/>
    <mergeCell ref="AN8:AY8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18"/>
  <sheetViews>
    <sheetView topLeftCell="B1" workbookViewId="0">
      <selection activeCell="C12" sqref="C12"/>
    </sheetView>
  </sheetViews>
  <sheetFormatPr defaultColWidth="12.5703125" defaultRowHeight="15" customHeight="1"/>
  <cols>
    <col min="1" max="1" width="12.5703125" style="251"/>
    <col min="2" max="2" width="53.85546875" style="251" customWidth="1"/>
    <col min="3" max="3" width="12.5703125" style="251"/>
    <col min="4" max="4" width="16" style="251" customWidth="1"/>
    <col min="5" max="5" width="35.28515625" style="251" customWidth="1"/>
    <col min="6" max="8" width="12.5703125" style="251"/>
    <col min="9" max="9" width="18.5703125" style="251" customWidth="1"/>
    <col min="10" max="10" width="21.7109375" style="251" customWidth="1"/>
    <col min="11" max="11" width="18.28515625" style="251" customWidth="1"/>
    <col min="12" max="12" width="22.85546875" style="251" customWidth="1"/>
    <col min="13" max="14" width="12.5703125" style="251"/>
    <col min="15" max="15" width="44.5703125" style="251" customWidth="1"/>
    <col min="16" max="16384" width="12.5703125" style="251"/>
  </cols>
  <sheetData>
    <row r="1" spans="1:32" ht="15" customHeight="1">
      <c r="A1" s="266">
        <v>1</v>
      </c>
      <c r="B1" s="267"/>
      <c r="C1" s="268"/>
      <c r="D1" s="269"/>
      <c r="E1" s="269"/>
      <c r="F1" s="269"/>
      <c r="G1" s="270"/>
      <c r="H1" s="271"/>
      <c r="I1" s="271"/>
      <c r="J1" s="272"/>
      <c r="K1" s="271"/>
      <c r="L1" s="5"/>
      <c r="M1" s="5"/>
      <c r="N1" s="5"/>
      <c r="O1" s="5"/>
      <c r="P1" s="5"/>
      <c r="Q1" s="5"/>
      <c r="R1" s="5"/>
      <c r="S1" s="5"/>
      <c r="T1" s="5"/>
      <c r="U1" s="5"/>
      <c r="V1" s="5" t="s">
        <v>238</v>
      </c>
      <c r="W1" s="5" t="s">
        <v>239</v>
      </c>
      <c r="X1" s="273">
        <v>150</v>
      </c>
      <c r="Y1" s="5"/>
      <c r="Z1" s="5"/>
      <c r="AA1" s="5"/>
      <c r="AB1" s="5"/>
      <c r="AC1" s="5"/>
      <c r="AD1" s="5"/>
      <c r="AE1" s="5"/>
      <c r="AF1" s="5"/>
    </row>
    <row r="2" spans="1:32" ht="15" customHeight="1">
      <c r="A2" s="274">
        <v>2</v>
      </c>
      <c r="B2" s="275"/>
      <c r="C2" s="270"/>
      <c r="D2" s="270"/>
      <c r="E2" s="270"/>
      <c r="F2" s="270"/>
      <c r="G2" s="270"/>
      <c r="H2" s="271"/>
      <c r="I2" s="271"/>
      <c r="J2" s="270"/>
      <c r="K2" s="270"/>
      <c r="L2" s="5"/>
      <c r="M2" s="5"/>
      <c r="N2" s="5"/>
      <c r="O2" s="5"/>
      <c r="P2" s="5"/>
      <c r="Q2" s="5"/>
      <c r="R2" s="276"/>
      <c r="S2" s="276"/>
      <c r="T2" s="276"/>
      <c r="U2" s="276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 customHeight="1">
      <c r="A3" s="274">
        <v>3</v>
      </c>
      <c r="B3" s="275"/>
      <c r="C3" s="277" t="s">
        <v>240</v>
      </c>
      <c r="D3" s="270"/>
      <c r="E3" s="270"/>
      <c r="F3" s="270"/>
      <c r="G3" s="270"/>
      <c r="H3" s="270"/>
      <c r="I3" s="270"/>
      <c r="J3" s="270"/>
      <c r="K3" s="270"/>
      <c r="L3" s="5"/>
      <c r="M3" s="5"/>
      <c r="N3" s="5"/>
      <c r="O3" s="278" t="s">
        <v>241</v>
      </c>
      <c r="P3" s="279"/>
      <c r="Q3" s="279"/>
      <c r="R3" s="280"/>
      <c r="S3" s="28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 customHeight="1">
      <c r="A4" s="274">
        <v>4</v>
      </c>
      <c r="B4" s="275"/>
      <c r="C4" s="282"/>
      <c r="D4" s="270"/>
      <c r="E4" s="270"/>
      <c r="F4" s="270"/>
      <c r="G4" s="270"/>
      <c r="H4" s="270"/>
      <c r="I4" s="270"/>
      <c r="J4" s="270"/>
      <c r="K4" s="270"/>
      <c r="L4" s="5"/>
      <c r="M4" s="5"/>
      <c r="N4" s="5"/>
      <c r="O4" s="283" t="s">
        <v>242</v>
      </c>
      <c r="P4" s="5"/>
      <c r="Q4" s="5"/>
      <c r="R4" s="5"/>
      <c r="S4" s="28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" customHeight="1">
      <c r="A5" s="274">
        <v>5</v>
      </c>
      <c r="B5" s="285"/>
      <c r="C5" s="270"/>
      <c r="D5" s="270"/>
      <c r="E5" s="270"/>
      <c r="F5" s="270"/>
      <c r="G5" s="270"/>
      <c r="H5" s="270"/>
      <c r="I5" s="270"/>
      <c r="J5" s="270"/>
      <c r="K5" s="270"/>
      <c r="L5" s="5"/>
      <c r="M5" s="5"/>
      <c r="N5" s="5"/>
      <c r="O5" s="474" t="s">
        <v>243</v>
      </c>
      <c r="P5" s="468"/>
      <c r="Q5" s="468"/>
      <c r="R5" s="5"/>
      <c r="S5" s="28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5" customHeight="1">
      <c r="A6" s="274">
        <v>6</v>
      </c>
      <c r="B6" s="286" t="s">
        <v>244</v>
      </c>
      <c r="C6" s="287" t="s">
        <v>245</v>
      </c>
      <c r="D6" s="287" t="s">
        <v>246</v>
      </c>
      <c r="E6" s="288" t="s">
        <v>247</v>
      </c>
      <c r="F6" s="288"/>
      <c r="G6" s="270"/>
      <c r="H6" s="271"/>
      <c r="I6" s="271"/>
      <c r="J6" s="271"/>
      <c r="K6" s="271"/>
      <c r="L6" s="5"/>
      <c r="M6" s="5"/>
      <c r="N6" s="5"/>
      <c r="O6" s="474" t="s">
        <v>248</v>
      </c>
      <c r="P6" s="468"/>
      <c r="Q6" s="468"/>
      <c r="R6" s="5"/>
      <c r="S6" s="28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 customHeight="1">
      <c r="A7" s="289"/>
      <c r="B7" s="286" t="s">
        <v>80</v>
      </c>
      <c r="C7" s="290" t="s">
        <v>249</v>
      </c>
      <c r="D7" s="291"/>
      <c r="E7" s="288"/>
      <c r="F7" s="288"/>
      <c r="G7" s="270"/>
      <c r="H7" s="271"/>
      <c r="I7" s="271"/>
      <c r="J7" s="271"/>
      <c r="K7" s="271"/>
      <c r="L7" s="5"/>
      <c r="M7" s="5"/>
      <c r="N7" s="5"/>
      <c r="O7" s="283"/>
      <c r="P7" s="5"/>
      <c r="Q7" s="5"/>
      <c r="R7" s="5"/>
      <c r="S7" s="28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" customHeight="1">
      <c r="A8" s="289"/>
      <c r="B8" s="286" t="s">
        <v>250</v>
      </c>
      <c r="C8" s="290">
        <v>1</v>
      </c>
      <c r="D8" s="5"/>
      <c r="E8" s="288"/>
      <c r="F8" s="288"/>
      <c r="G8" s="270"/>
      <c r="H8" s="271"/>
      <c r="I8" s="271"/>
      <c r="J8" s="271"/>
      <c r="K8" s="271"/>
      <c r="L8" s="5"/>
      <c r="M8" s="5"/>
      <c r="N8" s="5"/>
      <c r="O8" s="283"/>
      <c r="P8" s="5"/>
      <c r="Q8" s="5"/>
      <c r="R8" s="5"/>
      <c r="S8" s="28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" customHeight="1">
      <c r="A9" s="289"/>
      <c r="B9" s="286" t="s">
        <v>251</v>
      </c>
      <c r="C9" s="290">
        <v>10</v>
      </c>
      <c r="D9" s="287"/>
      <c r="E9" s="288"/>
      <c r="F9" s="288"/>
      <c r="G9" s="270"/>
      <c r="H9" s="271"/>
      <c r="I9" s="271"/>
      <c r="J9" s="271"/>
      <c r="K9" s="271"/>
      <c r="L9" s="5"/>
      <c r="M9" s="5"/>
      <c r="N9" s="5"/>
      <c r="O9" s="283"/>
      <c r="P9" s="5"/>
      <c r="Q9" s="5"/>
      <c r="R9" s="5"/>
      <c r="S9" s="28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289"/>
      <c r="B10" s="286" t="s">
        <v>252</v>
      </c>
      <c r="C10" s="290">
        <v>52</v>
      </c>
      <c r="D10" s="291"/>
      <c r="E10" s="288"/>
      <c r="F10" s="288"/>
      <c r="G10" s="270"/>
      <c r="H10" s="271" t="s">
        <v>253</v>
      </c>
      <c r="I10" s="271" t="s">
        <v>254</v>
      </c>
      <c r="J10" s="271" t="s">
        <v>255</v>
      </c>
      <c r="K10" s="271" t="s">
        <v>256</v>
      </c>
      <c r="L10" s="5"/>
      <c r="M10" s="5"/>
      <c r="N10" s="5"/>
      <c r="O10" s="283"/>
      <c r="P10" s="5"/>
      <c r="Q10" s="5"/>
      <c r="R10" s="5"/>
      <c r="S10" s="28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" customHeight="1">
      <c r="A11" s="289"/>
      <c r="B11" s="286" t="s">
        <v>257</v>
      </c>
      <c r="C11" s="290">
        <v>8</v>
      </c>
      <c r="D11" s="292" t="s">
        <v>258</v>
      </c>
      <c r="E11" s="288"/>
      <c r="F11" s="288"/>
      <c r="G11" s="270"/>
      <c r="H11" s="271"/>
      <c r="I11" s="271"/>
      <c r="J11" s="271"/>
      <c r="K11" s="271"/>
      <c r="L11" s="5"/>
      <c r="M11" s="5"/>
      <c r="N11" s="5"/>
      <c r="O11" s="283"/>
      <c r="P11" s="5"/>
      <c r="Q11" s="5"/>
      <c r="R11" s="5"/>
      <c r="S11" s="28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5" customHeight="1">
      <c r="A12" s="289"/>
      <c r="B12" s="286" t="s">
        <v>259</v>
      </c>
      <c r="C12" s="290">
        <v>520</v>
      </c>
      <c r="D12" s="292" t="s">
        <v>260</v>
      </c>
      <c r="E12" s="288"/>
      <c r="F12" s="288"/>
      <c r="G12" s="270"/>
      <c r="H12" s="271"/>
      <c r="I12" s="271">
        <v>2480</v>
      </c>
      <c r="J12" s="271"/>
      <c r="K12" s="271"/>
      <c r="L12" s="5"/>
      <c r="M12" s="5"/>
      <c r="N12" s="5"/>
      <c r="O12" s="283"/>
      <c r="P12" s="5"/>
      <c r="Q12" s="5"/>
      <c r="R12" s="5"/>
      <c r="S12" s="28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" customHeight="1">
      <c r="A13" s="289"/>
      <c r="B13" s="293" t="s">
        <v>261</v>
      </c>
      <c r="C13" s="294">
        <v>0.33333333333333331</v>
      </c>
      <c r="D13" s="5"/>
      <c r="E13" s="295" t="s">
        <v>262</v>
      </c>
      <c r="F13" s="270"/>
      <c r="G13" s="270"/>
      <c r="H13" s="271"/>
      <c r="I13" s="271"/>
      <c r="J13" s="271"/>
      <c r="K13" s="271"/>
      <c r="L13" s="5"/>
      <c r="M13" s="5"/>
      <c r="N13" s="5"/>
      <c r="O13" s="283"/>
      <c r="P13" s="5"/>
      <c r="Q13" s="5"/>
      <c r="R13" s="5"/>
      <c r="S13" s="28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5" customHeight="1">
      <c r="A14" s="289"/>
      <c r="B14" s="296" t="s">
        <v>263</v>
      </c>
      <c r="C14" s="297">
        <f>ROUNDDOWN(C12*C13,0)</f>
        <v>173</v>
      </c>
      <c r="D14" s="295" t="s">
        <v>264</v>
      </c>
      <c r="E14" s="288"/>
      <c r="F14" s="270"/>
      <c r="G14" s="270"/>
      <c r="H14" s="271"/>
      <c r="I14" s="271"/>
      <c r="J14" s="271"/>
      <c r="K14" s="271"/>
      <c r="L14" s="5"/>
      <c r="M14" s="5"/>
      <c r="N14" s="5"/>
      <c r="O14" s="283"/>
      <c r="P14" s="5"/>
      <c r="Q14" s="5"/>
      <c r="R14" s="5"/>
      <c r="S14" s="28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" customHeight="1">
      <c r="A15" s="289"/>
      <c r="B15" s="286" t="s">
        <v>265</v>
      </c>
      <c r="C15" s="298">
        <f>C16/C13</f>
        <v>4.1520000000000001</v>
      </c>
      <c r="D15" s="291" t="s">
        <v>266</v>
      </c>
      <c r="E15" s="288"/>
      <c r="F15" s="270"/>
      <c r="G15" s="270"/>
      <c r="H15" s="271"/>
      <c r="I15" s="271"/>
      <c r="J15" s="271"/>
      <c r="K15" s="271"/>
      <c r="L15" s="5"/>
      <c r="M15" s="5"/>
      <c r="N15" s="5"/>
      <c r="O15" s="283"/>
      <c r="P15" s="5"/>
      <c r="Q15" s="5"/>
      <c r="R15" s="5"/>
      <c r="S15" s="28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 customHeight="1">
      <c r="A16" s="289"/>
      <c r="B16" s="286" t="s">
        <v>267</v>
      </c>
      <c r="C16" s="298">
        <f>C14*C11/1000</f>
        <v>1.3839999999999999</v>
      </c>
      <c r="D16" s="291" t="s">
        <v>268</v>
      </c>
      <c r="E16" s="288"/>
      <c r="F16" s="270"/>
      <c r="G16" s="270"/>
      <c r="H16" s="271"/>
      <c r="I16" s="271"/>
      <c r="J16" s="271"/>
      <c r="K16" s="271"/>
      <c r="L16" s="5"/>
      <c r="M16" s="5"/>
      <c r="N16" s="5"/>
      <c r="O16" s="283"/>
      <c r="P16" s="5"/>
      <c r="Q16" s="5"/>
      <c r="R16" s="5"/>
      <c r="S16" s="28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 customHeight="1">
      <c r="A17" s="289"/>
      <c r="B17" s="286" t="s">
        <v>269</v>
      </c>
      <c r="C17" s="290">
        <v>8000</v>
      </c>
      <c r="D17" s="292" t="s">
        <v>270</v>
      </c>
      <c r="E17" s="288"/>
      <c r="F17" s="270"/>
      <c r="G17" s="270"/>
      <c r="H17" s="271"/>
      <c r="I17" s="271"/>
      <c r="J17" s="271"/>
      <c r="K17" s="271"/>
      <c r="L17" s="5"/>
      <c r="M17" s="5"/>
      <c r="N17" s="5"/>
      <c r="O17" s="283"/>
      <c r="P17" s="5"/>
      <c r="Q17" s="5"/>
      <c r="R17" s="5"/>
      <c r="S17" s="28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 customHeight="1">
      <c r="A18" s="274">
        <v>7</v>
      </c>
      <c r="B18" s="286" t="s">
        <v>271</v>
      </c>
      <c r="C18" s="290">
        <v>48</v>
      </c>
      <c r="D18" s="292" t="s">
        <v>272</v>
      </c>
      <c r="E18" s="288"/>
      <c r="F18" s="270"/>
      <c r="G18" s="270"/>
      <c r="H18" s="271"/>
      <c r="I18" s="271"/>
      <c r="J18" s="271"/>
      <c r="K18" s="271"/>
      <c r="L18" s="5"/>
      <c r="M18" s="5"/>
      <c r="N18" s="5"/>
      <c r="O18" s="474" t="s">
        <v>273</v>
      </c>
      <c r="P18" s="468"/>
      <c r="Q18" s="468"/>
      <c r="R18" s="468"/>
      <c r="S18" s="28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 customHeight="1">
      <c r="A19" s="274"/>
      <c r="B19" s="286" t="s">
        <v>274</v>
      </c>
      <c r="C19" s="290">
        <f>C18*7/4</f>
        <v>84</v>
      </c>
      <c r="D19" s="292" t="s">
        <v>275</v>
      </c>
      <c r="E19" s="288"/>
      <c r="F19" s="270"/>
      <c r="G19" s="270"/>
      <c r="H19" s="271">
        <f>84/4</f>
        <v>21</v>
      </c>
      <c r="I19" s="271"/>
      <c r="J19" s="271"/>
      <c r="K19" s="271"/>
      <c r="L19" s="5"/>
      <c r="M19" s="5"/>
      <c r="N19" s="5"/>
      <c r="O19" s="283"/>
      <c r="P19" s="3"/>
      <c r="Q19" s="3"/>
      <c r="R19" s="3"/>
      <c r="S19" s="28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 customHeight="1">
      <c r="A20" s="274"/>
      <c r="B20" s="286" t="s">
        <v>276</v>
      </c>
      <c r="C20" s="290">
        <f>C19/C18</f>
        <v>1.75</v>
      </c>
      <c r="D20" s="292" t="s">
        <v>277</v>
      </c>
      <c r="E20" s="288"/>
      <c r="F20" s="270"/>
      <c r="G20" s="270"/>
      <c r="H20" s="271"/>
      <c r="I20" s="271"/>
      <c r="J20" s="271"/>
      <c r="K20" s="271"/>
      <c r="L20" s="5"/>
      <c r="M20" s="5"/>
      <c r="N20" s="5"/>
      <c r="O20" s="283"/>
      <c r="P20" s="3"/>
      <c r="Q20" s="3"/>
      <c r="R20" s="3"/>
      <c r="S20" s="28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 customHeight="1">
      <c r="A21" s="274">
        <v>8</v>
      </c>
      <c r="B21" s="286" t="s">
        <v>278</v>
      </c>
      <c r="C21" s="298">
        <f>C16*C19</f>
        <v>116.25599999999999</v>
      </c>
      <c r="D21" s="291" t="s">
        <v>279</v>
      </c>
      <c r="E21" s="288"/>
      <c r="F21" s="288"/>
      <c r="G21" s="270"/>
      <c r="H21" s="271"/>
      <c r="I21" s="299"/>
      <c r="J21" s="271"/>
      <c r="K21" s="271"/>
      <c r="L21" s="5"/>
      <c r="M21" s="5"/>
      <c r="N21" s="5"/>
      <c r="O21" s="474" t="s">
        <v>280</v>
      </c>
      <c r="P21" s="468"/>
      <c r="Q21" s="5"/>
      <c r="R21" s="5"/>
      <c r="S21" s="28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 customHeight="1">
      <c r="A22" s="274">
        <v>9</v>
      </c>
      <c r="B22" s="293" t="s">
        <v>281</v>
      </c>
      <c r="C22" s="298">
        <f>C21/C18</f>
        <v>2.4219999999999997</v>
      </c>
      <c r="D22" s="291" t="s">
        <v>282</v>
      </c>
      <c r="E22" s="288"/>
      <c r="F22" s="288"/>
      <c r="G22" s="270"/>
      <c r="H22" s="271"/>
      <c r="I22" s="299"/>
      <c r="J22" s="271"/>
      <c r="K22" s="271"/>
      <c r="L22" s="5"/>
      <c r="M22" s="5"/>
      <c r="N22" s="5"/>
      <c r="O22" s="300"/>
      <c r="P22" s="301"/>
      <c r="Q22" s="302"/>
      <c r="R22" s="302"/>
      <c r="S22" s="30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274">
        <v>10</v>
      </c>
      <c r="B23" s="296" t="s">
        <v>283</v>
      </c>
      <c r="C23" s="290">
        <v>12</v>
      </c>
      <c r="D23" s="292" t="s">
        <v>284</v>
      </c>
      <c r="E23" s="295" t="s">
        <v>285</v>
      </c>
      <c r="F23" s="288"/>
      <c r="G23" s="3"/>
      <c r="H23" s="271"/>
      <c r="I23" s="271"/>
      <c r="J23" s="271"/>
      <c r="K23" s="271"/>
      <c r="L23" s="5"/>
      <c r="M23" s="5"/>
      <c r="N23" s="5"/>
      <c r="O23" s="5"/>
      <c r="P23" s="5"/>
      <c r="Q23" s="5"/>
      <c r="R23" s="276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 customHeight="1">
      <c r="A24" s="304">
        <v>11</v>
      </c>
      <c r="B24" s="286" t="s">
        <v>286</v>
      </c>
      <c r="C24" s="290">
        <f>J38/C13</f>
        <v>539.7600000000001</v>
      </c>
      <c r="D24" s="270" t="s">
        <v>287</v>
      </c>
      <c r="E24" s="288" t="s">
        <v>288</v>
      </c>
      <c r="F24" s="305"/>
      <c r="G24" s="270"/>
      <c r="H24" s="271"/>
      <c r="I24" s="271"/>
      <c r="J24" s="271"/>
      <c r="K24" s="271"/>
      <c r="L24" s="5"/>
      <c r="M24" s="5"/>
      <c r="N24" s="5"/>
      <c r="O24" s="5"/>
      <c r="P24" s="5"/>
      <c r="Q24" s="5"/>
      <c r="R24" s="27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 customHeight="1">
      <c r="A25" s="304">
        <v>12</v>
      </c>
      <c r="B25" s="286" t="s">
        <v>289</v>
      </c>
      <c r="C25" s="306">
        <f>J38</f>
        <v>179.92000000000002</v>
      </c>
      <c r="D25" s="270" t="s">
        <v>290</v>
      </c>
      <c r="E25" s="288"/>
      <c r="F25" s="305"/>
      <c r="G25" s="270"/>
      <c r="H25" s="271"/>
      <c r="I25" s="271"/>
      <c r="J25" s="271"/>
      <c r="K25" s="271"/>
      <c r="L25" s="5"/>
      <c r="M25" s="5"/>
      <c r="N25" s="5"/>
      <c r="O25" s="5"/>
      <c r="P25" s="5" t="s">
        <v>291</v>
      </c>
      <c r="Q25" s="273">
        <v>150000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.75">
      <c r="A26" s="274">
        <v>13</v>
      </c>
      <c r="B26" s="286" t="s">
        <v>292</v>
      </c>
      <c r="C26" s="298">
        <f>J41/1000</f>
        <v>15.113280000000001</v>
      </c>
      <c r="D26" s="287" t="s">
        <v>279</v>
      </c>
      <c r="E26" s="270"/>
      <c r="F26" s="270"/>
      <c r="G26" s="270"/>
      <c r="H26" s="307"/>
      <c r="I26" s="270"/>
      <c r="J26" s="270"/>
      <c r="K26" s="270"/>
      <c r="L26" s="5"/>
      <c r="M26" s="5"/>
      <c r="N26" s="5"/>
      <c r="O26" s="5" t="s">
        <v>293</v>
      </c>
      <c r="P26" s="5" t="s">
        <v>294</v>
      </c>
      <c r="Q26" s="273">
        <v>750000</v>
      </c>
      <c r="R26" s="475" t="s">
        <v>295</v>
      </c>
      <c r="S26" s="468"/>
      <c r="T26" s="468"/>
      <c r="U26" s="468"/>
      <c r="V26" s="468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.75">
      <c r="A27" s="308">
        <v>14</v>
      </c>
      <c r="B27" s="286" t="s">
        <v>296</v>
      </c>
      <c r="C27" s="309">
        <f>J39</f>
        <v>314.86</v>
      </c>
      <c r="D27" s="291" t="s">
        <v>297</v>
      </c>
      <c r="E27" s="270"/>
      <c r="F27" s="476"/>
      <c r="G27" s="468"/>
      <c r="H27" s="270"/>
      <c r="I27" s="270"/>
      <c r="J27" s="270"/>
      <c r="K27" s="270"/>
      <c r="L27" s="5"/>
      <c r="M27" s="5"/>
      <c r="N27" s="5"/>
      <c r="O27" s="5"/>
      <c r="P27" s="5" t="s">
        <v>298</v>
      </c>
      <c r="Q27" s="273">
        <v>7500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>
      <c r="A28" s="266">
        <v>15</v>
      </c>
      <c r="B28" s="286" t="s">
        <v>299</v>
      </c>
      <c r="C28" s="298">
        <f>L41/1000</f>
        <v>29.064</v>
      </c>
      <c r="D28" s="287" t="s">
        <v>279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5" t="s">
        <v>300</v>
      </c>
      <c r="P28" s="5" t="s">
        <v>291</v>
      </c>
      <c r="Q28" s="273">
        <v>150000</v>
      </c>
      <c r="R28" s="475" t="s">
        <v>301</v>
      </c>
      <c r="S28" s="468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>
      <c r="A29" s="308">
        <v>16</v>
      </c>
      <c r="B29" s="286" t="s">
        <v>302</v>
      </c>
      <c r="C29" s="309">
        <f>L39</f>
        <v>605.5</v>
      </c>
      <c r="D29" s="291" t="s">
        <v>297</v>
      </c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>
      <c r="A30" s="266">
        <v>17</v>
      </c>
      <c r="B30" s="5"/>
      <c r="C30" s="5"/>
      <c r="D30" s="5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>
      <c r="A31" s="274">
        <v>18</v>
      </c>
      <c r="B31" s="272"/>
      <c r="C31" s="270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>
      <c r="A32" s="308">
        <v>19</v>
      </c>
      <c r="B32" s="272"/>
      <c r="C32" s="270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75">
      <c r="A33" s="266">
        <v>20</v>
      </c>
      <c r="B33" s="272"/>
      <c r="C33" s="270"/>
      <c r="D33" s="271"/>
      <c r="E33" s="271"/>
      <c r="F33" s="271"/>
      <c r="G33" s="271"/>
      <c r="H33" s="271"/>
      <c r="I33" s="271"/>
      <c r="J33" s="310"/>
      <c r="K33" s="271"/>
      <c r="L33" s="271"/>
      <c r="M33" s="271"/>
      <c r="N33" s="27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>
      <c r="A34" s="274">
        <v>21</v>
      </c>
      <c r="B34" s="311"/>
      <c r="C34" s="292"/>
      <c r="D34" s="312"/>
      <c r="E34" s="312"/>
      <c r="F34" s="312"/>
      <c r="G34" s="312"/>
      <c r="H34" s="312"/>
      <c r="I34" s="271"/>
      <c r="J34" s="271"/>
      <c r="K34" s="271"/>
      <c r="L34" s="271"/>
      <c r="M34" s="271"/>
      <c r="N34" s="271"/>
      <c r="O34" s="5"/>
      <c r="P34" s="5" t="s">
        <v>303</v>
      </c>
      <c r="Q34" s="273">
        <v>150</v>
      </c>
      <c r="R34" s="5"/>
      <c r="S34" s="5"/>
      <c r="T34" s="27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>
      <c r="A35" s="308">
        <v>22</v>
      </c>
      <c r="B35" s="272" t="s">
        <v>304</v>
      </c>
      <c r="C35" s="275"/>
      <c r="D35" s="313" t="s">
        <v>305</v>
      </c>
      <c r="E35" s="313" t="s">
        <v>306</v>
      </c>
      <c r="F35" s="314" t="s">
        <v>307</v>
      </c>
      <c r="G35" s="313" t="s">
        <v>92</v>
      </c>
      <c r="H35" s="313" t="s">
        <v>308</v>
      </c>
      <c r="I35" s="315" t="s">
        <v>309</v>
      </c>
      <c r="J35" s="315" t="s">
        <v>310</v>
      </c>
      <c r="K35" s="315" t="s">
        <v>311</v>
      </c>
      <c r="L35" s="316" t="s">
        <v>312</v>
      </c>
      <c r="M35" s="316" t="s">
        <v>313</v>
      </c>
      <c r="N35" s="27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>
      <c r="A36" s="266">
        <v>23</v>
      </c>
      <c r="B36" s="296"/>
      <c r="C36" s="317"/>
      <c r="D36" s="315"/>
      <c r="E36" s="315"/>
      <c r="F36" s="5"/>
      <c r="G36" s="318"/>
      <c r="H36" s="315"/>
      <c r="I36" s="314"/>
      <c r="J36" s="314"/>
      <c r="K36" s="314"/>
      <c r="L36" s="315"/>
      <c r="M36" s="315"/>
      <c r="N36" s="271"/>
      <c r="O36" s="278" t="s">
        <v>314</v>
      </c>
      <c r="P36" s="279"/>
      <c r="Q36" s="280"/>
      <c r="R36" s="281"/>
      <c r="S36" s="5"/>
      <c r="T36" s="31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>
      <c r="A37" s="274">
        <v>24</v>
      </c>
      <c r="B37" s="286"/>
      <c r="C37" s="314"/>
      <c r="D37" s="320"/>
      <c r="E37" s="314"/>
      <c r="F37" s="5"/>
      <c r="G37" s="321"/>
      <c r="H37" s="314"/>
      <c r="I37" s="314"/>
      <c r="J37" s="314"/>
      <c r="K37" s="314"/>
      <c r="L37" s="314"/>
      <c r="M37" s="314"/>
      <c r="N37" s="271"/>
      <c r="O37" s="322" t="s">
        <v>315</v>
      </c>
      <c r="P37" s="276" t="s">
        <v>246</v>
      </c>
      <c r="Q37" s="276" t="s">
        <v>316</v>
      </c>
      <c r="R37" s="323" t="s">
        <v>247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>
      <c r="A38" s="308">
        <v>25</v>
      </c>
      <c r="B38" s="286" t="s">
        <v>317</v>
      </c>
      <c r="C38" s="285" t="s">
        <v>290</v>
      </c>
      <c r="D38" s="320">
        <f>$C$16*1000</f>
        <v>1384</v>
      </c>
      <c r="E38" s="324">
        <f>(G38*2.5)/(12/1000)</f>
        <v>10.709523809523811</v>
      </c>
      <c r="F38" s="3"/>
      <c r="G38" s="325">
        <f>R47/1000</f>
        <v>5.1405714285714291E-2</v>
      </c>
      <c r="H38" s="324">
        <f t="shared" ref="H38:H39" si="0">($R$48*$R$56*D38/1000000)</f>
        <v>1.8428169696969696</v>
      </c>
      <c r="I38" s="324">
        <f>D38*(1-R57)</f>
        <v>830.4</v>
      </c>
      <c r="J38" s="324">
        <f>($D$38*$R$51)</f>
        <v>179.92000000000002</v>
      </c>
      <c r="K38" s="324">
        <f>($D$38*$R$55)</f>
        <v>48.440000000000005</v>
      </c>
      <c r="L38" s="324">
        <f>($D$38*$R$52)</f>
        <v>346</v>
      </c>
      <c r="M38" s="324">
        <f t="shared" ref="M38:M41" si="1">I38-J38-L38</f>
        <v>304.48</v>
      </c>
      <c r="N38" s="272"/>
      <c r="O38" s="283" t="s">
        <v>318</v>
      </c>
      <c r="P38" s="5" t="s">
        <v>290</v>
      </c>
      <c r="Q38" s="273">
        <f>$C$16*1000</f>
        <v>1384</v>
      </c>
      <c r="R38" s="28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>
      <c r="A39" s="266">
        <v>26</v>
      </c>
      <c r="B39" s="286"/>
      <c r="C39" s="285" t="s">
        <v>319</v>
      </c>
      <c r="D39" s="320">
        <f>$C$22*1000</f>
        <v>2421.9999999999995</v>
      </c>
      <c r="E39" s="324">
        <f>E38*C20</f>
        <v>18.741666666666667</v>
      </c>
      <c r="F39" s="3"/>
      <c r="G39" s="324">
        <f>G38*C20</f>
        <v>8.9960000000000012E-2</v>
      </c>
      <c r="H39" s="324">
        <f t="shared" si="0"/>
        <v>3.2249296969696961</v>
      </c>
      <c r="I39" s="324">
        <f>I38*C20</f>
        <v>1453.2</v>
      </c>
      <c r="J39" s="324">
        <f>(J38)*C20</f>
        <v>314.86</v>
      </c>
      <c r="K39" s="324">
        <f>(K38)*7/$C$22</f>
        <v>140.00000000000003</v>
      </c>
      <c r="L39" s="324">
        <f>(L38)*C20</f>
        <v>605.5</v>
      </c>
      <c r="M39" s="324">
        <f t="shared" si="1"/>
        <v>532.84000000000015</v>
      </c>
      <c r="N39" s="271"/>
      <c r="O39" s="283" t="s">
        <v>320</v>
      </c>
      <c r="P39" s="5" t="s">
        <v>321</v>
      </c>
      <c r="Q39" s="326">
        <v>1</v>
      </c>
      <c r="R39" s="284" t="s">
        <v>322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>
      <c r="A40" s="274">
        <v>27</v>
      </c>
      <c r="B40" s="286"/>
      <c r="C40" s="285" t="s">
        <v>323</v>
      </c>
      <c r="D40" s="320">
        <f>$D$41/12</f>
        <v>9687.9999999999982</v>
      </c>
      <c r="E40" s="324">
        <f t="shared" ref="E40:L40" si="2">E41/12</f>
        <v>74.966666666666669</v>
      </c>
      <c r="F40" s="324">
        <f t="shared" si="2"/>
        <v>0</v>
      </c>
      <c r="G40" s="324">
        <f t="shared" si="2"/>
        <v>0.35983999999999999</v>
      </c>
      <c r="H40" s="324">
        <f t="shared" si="2"/>
        <v>12.899718787878784</v>
      </c>
      <c r="I40" s="324">
        <f t="shared" si="2"/>
        <v>5812.8</v>
      </c>
      <c r="J40" s="324">
        <f t="shared" si="2"/>
        <v>1259.44</v>
      </c>
      <c r="K40" s="324">
        <f t="shared" si="2"/>
        <v>560.00000000000011</v>
      </c>
      <c r="L40" s="324">
        <f t="shared" si="2"/>
        <v>2422</v>
      </c>
      <c r="M40" s="324">
        <f t="shared" si="1"/>
        <v>2131.3600000000006</v>
      </c>
      <c r="N40" s="271"/>
      <c r="O40" s="300" t="s">
        <v>324</v>
      </c>
      <c r="P40" s="302" t="s">
        <v>321</v>
      </c>
      <c r="Q40" s="327">
        <v>0.78</v>
      </c>
      <c r="R40" s="284" t="s">
        <v>325</v>
      </c>
      <c r="S40" s="5"/>
      <c r="T40" s="27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.75">
      <c r="A41" s="308">
        <v>28</v>
      </c>
      <c r="B41" s="286"/>
      <c r="C41" s="285" t="s">
        <v>326</v>
      </c>
      <c r="D41" s="320">
        <f>$C$21*1000</f>
        <v>116255.99999999999</v>
      </c>
      <c r="E41" s="324">
        <f>E39*$C$18</f>
        <v>899.6</v>
      </c>
      <c r="F41" s="3"/>
      <c r="G41" s="324">
        <f t="shared" ref="G41:L41" si="3">G39*$C$18</f>
        <v>4.3180800000000001</v>
      </c>
      <c r="H41" s="324">
        <f t="shared" si="3"/>
        <v>154.79662545454542</v>
      </c>
      <c r="I41" s="324">
        <f t="shared" si="3"/>
        <v>69753.600000000006</v>
      </c>
      <c r="J41" s="324">
        <f t="shared" si="3"/>
        <v>15113.28</v>
      </c>
      <c r="K41" s="324">
        <f t="shared" si="3"/>
        <v>6720.0000000000018</v>
      </c>
      <c r="L41" s="324">
        <f t="shared" si="3"/>
        <v>29064</v>
      </c>
      <c r="M41" s="324">
        <f t="shared" si="1"/>
        <v>25576.320000000007</v>
      </c>
      <c r="N41" s="271"/>
      <c r="O41" s="5"/>
      <c r="P41" s="5"/>
      <c r="Q41" s="5"/>
      <c r="R41" s="5"/>
      <c r="S41" s="5"/>
      <c r="T41" s="27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.75">
      <c r="A42" s="266">
        <v>29</v>
      </c>
      <c r="B42" s="5"/>
      <c r="C42" s="289"/>
      <c r="D42" s="314"/>
      <c r="E42" s="3"/>
      <c r="F42" s="3"/>
      <c r="G42" s="3"/>
      <c r="H42" s="328"/>
      <c r="I42" s="328"/>
      <c r="J42" s="328"/>
      <c r="K42" s="324"/>
      <c r="L42" s="324"/>
      <c r="M42" s="324"/>
      <c r="N42" s="271"/>
      <c r="O42" s="278" t="s">
        <v>327</v>
      </c>
      <c r="P42" s="280"/>
      <c r="Q42" s="280"/>
      <c r="R42" s="280"/>
      <c r="S42" s="28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.75">
      <c r="A43" s="274">
        <v>30</v>
      </c>
      <c r="B43" s="296" t="s">
        <v>328</v>
      </c>
      <c r="C43" s="329" t="s">
        <v>329</v>
      </c>
      <c r="D43" s="314" t="s">
        <v>330</v>
      </c>
      <c r="E43" s="324" t="s">
        <v>331</v>
      </c>
      <c r="F43" s="3"/>
      <c r="G43" s="328">
        <v>27</v>
      </c>
      <c r="H43" s="328">
        <v>27</v>
      </c>
      <c r="I43" s="328">
        <v>27</v>
      </c>
      <c r="J43" s="328">
        <v>27</v>
      </c>
      <c r="K43" s="324">
        <v>65</v>
      </c>
      <c r="L43" s="324" t="s">
        <v>330</v>
      </c>
      <c r="M43" s="324"/>
      <c r="N43" s="271"/>
      <c r="O43" s="322"/>
      <c r="P43" s="5"/>
      <c r="Q43" s="5"/>
      <c r="R43" s="5"/>
      <c r="S43" s="28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.75">
      <c r="A44" s="308">
        <v>31</v>
      </c>
      <c r="B44" s="286" t="s">
        <v>332</v>
      </c>
      <c r="C44" s="285" t="s">
        <v>333</v>
      </c>
      <c r="D44" s="314">
        <v>1</v>
      </c>
      <c r="E44" s="324">
        <v>1</v>
      </c>
      <c r="F44" s="3"/>
      <c r="G44" s="328">
        <v>1</v>
      </c>
      <c r="H44" s="328">
        <v>1</v>
      </c>
      <c r="I44" s="328">
        <v>1</v>
      </c>
      <c r="J44" s="328">
        <v>1</v>
      </c>
      <c r="K44" s="324">
        <v>1</v>
      </c>
      <c r="L44" s="324">
        <v>1</v>
      </c>
      <c r="M44" s="324"/>
      <c r="N44" s="271"/>
      <c r="O44" s="322" t="s">
        <v>315</v>
      </c>
      <c r="P44" s="276" t="s">
        <v>246</v>
      </c>
      <c r="Q44" s="276" t="s">
        <v>334</v>
      </c>
      <c r="R44" s="276" t="s">
        <v>316</v>
      </c>
      <c r="S44" s="323" t="s">
        <v>247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.75">
      <c r="A45" s="266">
        <v>32</v>
      </c>
      <c r="B45" s="286" t="s">
        <v>335</v>
      </c>
      <c r="C45" s="275" t="s">
        <v>336</v>
      </c>
      <c r="D45" s="273">
        <v>2000</v>
      </c>
      <c r="E45" s="3"/>
      <c r="F45" s="3"/>
      <c r="G45" s="3"/>
      <c r="H45" s="3"/>
      <c r="I45" s="3"/>
      <c r="J45" s="3"/>
      <c r="K45" s="3"/>
      <c r="L45" s="3"/>
      <c r="M45" s="271"/>
      <c r="N45" s="271"/>
      <c r="O45" s="283" t="s">
        <v>337</v>
      </c>
      <c r="P45" s="5" t="s">
        <v>338</v>
      </c>
      <c r="Q45" s="5"/>
      <c r="R45" s="330">
        <f>C23</f>
        <v>12</v>
      </c>
      <c r="S45" s="28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.75">
      <c r="A46" s="308">
        <v>33</v>
      </c>
      <c r="B46" s="286" t="s">
        <v>339</v>
      </c>
      <c r="C46" s="275" t="s">
        <v>340</v>
      </c>
      <c r="D46" s="5"/>
      <c r="E46" s="3"/>
      <c r="F46" s="3"/>
      <c r="G46" s="3"/>
      <c r="H46" s="3"/>
      <c r="I46" s="3"/>
      <c r="J46" s="331"/>
      <c r="K46" s="331"/>
      <c r="L46" s="331"/>
      <c r="M46" s="271"/>
      <c r="N46" s="271"/>
      <c r="O46" s="283" t="s">
        <v>341</v>
      </c>
      <c r="P46" s="5" t="s">
        <v>321</v>
      </c>
      <c r="Q46" s="5"/>
      <c r="R46" s="332">
        <v>0.7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67.5">
      <c r="A47" s="270"/>
      <c r="B47" s="5" t="s">
        <v>342</v>
      </c>
      <c r="C47" s="5"/>
      <c r="D47" s="5"/>
      <c r="E47" s="333" t="s">
        <v>343</v>
      </c>
      <c r="F47" s="3"/>
      <c r="G47" s="334" t="s">
        <v>344</v>
      </c>
      <c r="H47" s="334" t="s">
        <v>345</v>
      </c>
      <c r="I47" s="334"/>
      <c r="J47" s="334" t="s">
        <v>346</v>
      </c>
      <c r="K47" s="334" t="s">
        <v>346</v>
      </c>
      <c r="L47" s="334" t="s">
        <v>346</v>
      </c>
      <c r="M47" s="271"/>
      <c r="N47" s="271"/>
      <c r="O47" s="283" t="s">
        <v>347</v>
      </c>
      <c r="P47" s="5" t="s">
        <v>348</v>
      </c>
      <c r="Q47" s="5"/>
      <c r="R47" s="335">
        <f>((R50/R46)*10)/500000</f>
        <v>51.405714285714289</v>
      </c>
      <c r="S47" s="5" t="s">
        <v>349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>
      <c r="A48" s="270"/>
      <c r="B48" s="5"/>
      <c r="C48" s="5"/>
      <c r="D48" s="5"/>
      <c r="E48" s="5"/>
      <c r="F48" s="5"/>
      <c r="G48" s="5"/>
      <c r="H48" s="5"/>
      <c r="I48" s="5"/>
      <c r="J48" s="271"/>
      <c r="K48" s="271"/>
      <c r="L48" s="271"/>
      <c r="M48" s="271"/>
      <c r="N48" s="271"/>
      <c r="O48" s="283" t="s">
        <v>350</v>
      </c>
      <c r="P48" s="5" t="s">
        <v>351</v>
      </c>
      <c r="Q48" s="5"/>
      <c r="R48" s="336">
        <v>1300</v>
      </c>
      <c r="S48" s="284" t="s">
        <v>352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.75">
      <c r="A49" s="270"/>
      <c r="B49" s="5"/>
      <c r="C49" s="5"/>
      <c r="D49" s="5"/>
      <c r="E49" s="5"/>
      <c r="F49" s="5"/>
      <c r="G49" s="5"/>
      <c r="H49" s="5"/>
      <c r="I49" s="5"/>
      <c r="J49" s="271"/>
      <c r="K49" s="271"/>
      <c r="L49" s="271"/>
      <c r="M49" s="271"/>
      <c r="N49" s="271"/>
      <c r="O49" s="283" t="s">
        <v>353</v>
      </c>
      <c r="P49" s="5" t="s">
        <v>321</v>
      </c>
      <c r="Q49" s="276"/>
      <c r="R49" s="337">
        <f>Q40</f>
        <v>0.78</v>
      </c>
      <c r="S49" s="28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.75">
      <c r="A50" s="270"/>
      <c r="B50" s="5"/>
      <c r="C50" s="5"/>
      <c r="D50" s="5"/>
      <c r="E50" s="5"/>
      <c r="F50" s="5"/>
      <c r="G50" s="5"/>
      <c r="H50" s="5"/>
      <c r="I50" s="5"/>
      <c r="J50" s="271"/>
      <c r="K50" s="271"/>
      <c r="L50" s="271"/>
      <c r="M50" s="271"/>
      <c r="N50" s="271"/>
      <c r="O50" s="283" t="s">
        <v>354</v>
      </c>
      <c r="P50" s="5" t="s">
        <v>128</v>
      </c>
      <c r="Q50" s="5"/>
      <c r="R50" s="338">
        <f>$R$48*$Q$38</f>
        <v>1799200</v>
      </c>
      <c r="S50" s="28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75">
      <c r="A51" s="270"/>
      <c r="B51" s="5"/>
      <c r="C51" s="5"/>
      <c r="D51" s="5"/>
      <c r="E51" s="5"/>
      <c r="F51" s="5"/>
      <c r="G51" s="5"/>
      <c r="H51" s="5"/>
      <c r="I51" s="5"/>
      <c r="J51" s="271"/>
      <c r="K51" s="271"/>
      <c r="L51" s="271"/>
      <c r="M51" s="271"/>
      <c r="N51" s="271"/>
      <c r="O51" s="283" t="s">
        <v>355</v>
      </c>
      <c r="P51" s="5" t="s">
        <v>356</v>
      </c>
      <c r="Q51" s="5" t="s">
        <v>357</v>
      </c>
      <c r="R51" s="337">
        <v>0.13</v>
      </c>
      <c r="S51" s="284" t="s">
        <v>358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75">
      <c r="A52" s="270"/>
      <c r="B52" s="272"/>
      <c r="C52" s="270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83" t="s">
        <v>359</v>
      </c>
      <c r="P52" s="5" t="s">
        <v>356</v>
      </c>
      <c r="Q52" s="5" t="s">
        <v>360</v>
      </c>
      <c r="R52" s="339">
        <v>0.25</v>
      </c>
      <c r="S52" s="284" t="s">
        <v>361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.75">
      <c r="A53" s="270"/>
      <c r="B53" s="272"/>
      <c r="C53" s="270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83" t="s">
        <v>362</v>
      </c>
      <c r="P53" s="5" t="s">
        <v>356</v>
      </c>
      <c r="Q53" s="5" t="s">
        <v>363</v>
      </c>
      <c r="R53" s="340">
        <v>5.0000000000000001E-3</v>
      </c>
      <c r="S53" s="284" t="s">
        <v>358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.75">
      <c r="A54" s="270"/>
      <c r="B54" s="272"/>
      <c r="C54" s="270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83" t="s">
        <v>364</v>
      </c>
      <c r="P54" s="5" t="s">
        <v>356</v>
      </c>
      <c r="Q54" s="5" t="s">
        <v>365</v>
      </c>
      <c r="R54" s="337">
        <v>0.02</v>
      </c>
      <c r="S54" s="284" t="s">
        <v>358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.75">
      <c r="A55" s="270"/>
      <c r="B55" s="272"/>
      <c r="C55" s="270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83" t="s">
        <v>366</v>
      </c>
      <c r="P55" s="5" t="s">
        <v>356</v>
      </c>
      <c r="Q55" s="5" t="s">
        <v>367</v>
      </c>
      <c r="R55" s="340">
        <v>3.5000000000000003E-2</v>
      </c>
      <c r="S55" s="284" t="s">
        <v>358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.75">
      <c r="A56" s="270"/>
      <c r="B56" s="272"/>
      <c r="C56" s="270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300" t="s">
        <v>368</v>
      </c>
      <c r="P56" s="302" t="s">
        <v>369</v>
      </c>
      <c r="Q56" s="302"/>
      <c r="R56" s="341">
        <f>1690/1650</f>
        <v>1.0242424242424242</v>
      </c>
      <c r="S56" s="303" t="s">
        <v>370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.75">
      <c r="A57" s="270"/>
      <c r="B57" s="272"/>
      <c r="C57" s="270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300" t="s">
        <v>371</v>
      </c>
      <c r="P57" s="271"/>
      <c r="Q57" s="271"/>
      <c r="R57" s="342">
        <v>0.4</v>
      </c>
      <c r="S57" s="271"/>
      <c r="T57" s="5"/>
      <c r="U57" s="5"/>
      <c r="V57" s="276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>
      <c r="A58" s="270"/>
      <c r="B58" s="272"/>
      <c r="C58" s="270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5"/>
      <c r="U58" s="5"/>
      <c r="V58" s="276"/>
      <c r="W58" s="276"/>
      <c r="X58" s="276"/>
      <c r="Y58" s="276"/>
      <c r="Z58" s="276"/>
      <c r="AA58" s="5"/>
      <c r="AB58" s="5"/>
      <c r="AC58" s="5"/>
      <c r="AD58" s="5"/>
      <c r="AE58" s="5"/>
      <c r="AF58" s="5"/>
    </row>
    <row r="59" spans="1:32" ht="15.75">
      <c r="A59" s="270"/>
      <c r="B59" s="272"/>
      <c r="C59" s="271"/>
      <c r="D59" s="271"/>
      <c r="E59" s="271"/>
      <c r="F59" s="5"/>
      <c r="G59" s="271"/>
      <c r="H59" s="271"/>
      <c r="I59" s="271"/>
      <c r="J59" s="271"/>
      <c r="K59" s="27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276"/>
      <c r="X59" s="5"/>
      <c r="Y59" s="5"/>
      <c r="Z59" s="267"/>
      <c r="AA59" s="5"/>
      <c r="AB59" s="5"/>
      <c r="AC59" s="5"/>
      <c r="AD59" s="5"/>
      <c r="AE59" s="5"/>
      <c r="AF59" s="5"/>
    </row>
    <row r="60" spans="1:32" ht="15.75">
      <c r="A60" s="270"/>
      <c r="B60" s="272"/>
      <c r="C60" s="270"/>
      <c r="D60" s="271"/>
      <c r="E60" s="271"/>
      <c r="F60" s="271"/>
      <c r="G60" s="271"/>
      <c r="H60" s="271"/>
      <c r="I60" s="271"/>
      <c r="J60" s="271"/>
      <c r="K60" s="271"/>
      <c r="L60" s="5"/>
      <c r="M60" s="5"/>
      <c r="N60" s="5"/>
      <c r="O60" s="319"/>
      <c r="P60" s="319"/>
      <c r="Q60" s="319"/>
      <c r="R60" s="276"/>
      <c r="S60" s="5"/>
      <c r="T60" s="5"/>
      <c r="U60" s="5"/>
      <c r="V60" s="5"/>
      <c r="W60" s="276"/>
      <c r="X60" s="5"/>
      <c r="Y60" s="5"/>
      <c r="Z60" s="267"/>
      <c r="AA60" s="5"/>
      <c r="AB60" s="5"/>
      <c r="AC60" s="5"/>
      <c r="AD60" s="5"/>
      <c r="AE60" s="5"/>
      <c r="AF60" s="5"/>
    </row>
    <row r="61" spans="1:32" ht="15.75">
      <c r="A61" s="270"/>
      <c r="B61" s="272"/>
      <c r="C61" s="270"/>
      <c r="D61" s="271"/>
      <c r="E61" s="271"/>
      <c r="F61" s="271"/>
      <c r="G61" s="271"/>
      <c r="H61" s="271"/>
      <c r="I61" s="271"/>
      <c r="J61" s="271"/>
      <c r="K61" s="271"/>
      <c r="L61" s="5"/>
      <c r="M61" s="5"/>
      <c r="N61" s="5"/>
      <c r="O61" s="319"/>
      <c r="P61" s="319"/>
      <c r="Q61" s="319"/>
      <c r="R61" s="276"/>
      <c r="S61" s="5"/>
      <c r="T61" s="5"/>
      <c r="U61" s="5"/>
      <c r="V61" s="5"/>
      <c r="W61" s="276"/>
      <c r="X61" s="5"/>
      <c r="Y61" s="5"/>
      <c r="Z61" s="267"/>
      <c r="AA61" s="5"/>
      <c r="AB61" s="5"/>
      <c r="AC61" s="5"/>
      <c r="AD61" s="5"/>
      <c r="AE61" s="5"/>
      <c r="AF61" s="5"/>
    </row>
    <row r="62" spans="1:32" ht="15.75">
      <c r="A62" s="270"/>
      <c r="B62" s="272"/>
      <c r="C62" s="270"/>
      <c r="D62" s="271"/>
      <c r="E62" s="271"/>
      <c r="F62" s="271"/>
      <c r="G62" s="271"/>
      <c r="H62" s="271"/>
      <c r="I62" s="271"/>
      <c r="J62" s="271"/>
      <c r="K62" s="271"/>
      <c r="L62" s="5"/>
      <c r="M62" s="5"/>
      <c r="N62" s="5"/>
      <c r="O62" s="319"/>
      <c r="P62" s="319"/>
      <c r="Q62" s="319"/>
      <c r="R62" s="276"/>
      <c r="S62" s="5"/>
      <c r="T62" s="5"/>
      <c r="U62" s="5"/>
      <c r="V62" s="5"/>
      <c r="W62" s="276"/>
      <c r="X62" s="5"/>
      <c r="Y62" s="5"/>
      <c r="Z62" s="267"/>
      <c r="AA62" s="5"/>
      <c r="AB62" s="5"/>
      <c r="AC62" s="5"/>
      <c r="AD62" s="5"/>
      <c r="AE62" s="5"/>
      <c r="AF62" s="5"/>
    </row>
    <row r="63" spans="1:32" ht="15.75">
      <c r="A63" s="270"/>
      <c r="B63" s="272"/>
      <c r="C63" s="34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76"/>
      <c r="S63" s="5"/>
      <c r="T63" s="5"/>
      <c r="U63" s="5"/>
      <c r="V63" s="5"/>
      <c r="W63" s="276"/>
      <c r="X63" s="5"/>
      <c r="Y63" s="5"/>
      <c r="Z63" s="267"/>
      <c r="AA63" s="5"/>
      <c r="AB63" s="5"/>
      <c r="AC63" s="5"/>
      <c r="AD63" s="5"/>
      <c r="AE63" s="5"/>
      <c r="AF63" s="5"/>
    </row>
    <row r="64" spans="1:32" ht="15.75">
      <c r="A64" s="270"/>
      <c r="B64" s="272"/>
      <c r="C64" s="271"/>
      <c r="D64" s="271"/>
      <c r="E64" s="271"/>
      <c r="F64" s="473"/>
      <c r="G64" s="468"/>
      <c r="H64" s="473"/>
      <c r="I64" s="468"/>
      <c r="J64" s="468"/>
      <c r="K64" s="271"/>
      <c r="L64" s="5"/>
      <c r="M64" s="5"/>
      <c r="N64" s="5"/>
      <c r="O64" s="5"/>
      <c r="P64" s="5"/>
      <c r="Q64" s="5"/>
      <c r="R64" s="276"/>
      <c r="S64" s="5"/>
      <c r="T64" s="5"/>
      <c r="U64" s="5"/>
      <c r="V64" s="5"/>
      <c r="W64" s="276"/>
      <c r="X64" s="5"/>
      <c r="Y64" s="5"/>
      <c r="Z64" s="267"/>
      <c r="AA64" s="5"/>
      <c r="AB64" s="5"/>
      <c r="AC64" s="5"/>
      <c r="AD64" s="5"/>
      <c r="AE64" s="5"/>
      <c r="AF64" s="5"/>
    </row>
    <row r="65" spans="1:32" ht="15.75">
      <c r="A65" s="270"/>
      <c r="B65" s="272"/>
      <c r="C65" s="271"/>
      <c r="D65" s="271"/>
      <c r="E65" s="27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276"/>
      <c r="S65" s="5"/>
      <c r="T65" s="5"/>
      <c r="U65" s="5"/>
      <c r="V65" s="5"/>
      <c r="W65" s="276"/>
      <c r="X65" s="5"/>
      <c r="Y65" s="5"/>
      <c r="Z65" s="267"/>
      <c r="AA65" s="5"/>
      <c r="AB65" s="5"/>
      <c r="AC65" s="5"/>
      <c r="AD65" s="5"/>
      <c r="AE65" s="5"/>
      <c r="AF65" s="5"/>
    </row>
    <row r="66" spans="1:32" ht="15.75">
      <c r="A66" s="270"/>
      <c r="B66" s="272"/>
      <c r="C66" s="271"/>
      <c r="D66" s="271"/>
      <c r="E66" s="271"/>
      <c r="F66" s="473"/>
      <c r="G66" s="468"/>
      <c r="H66" s="473"/>
      <c r="I66" s="468"/>
      <c r="J66" s="468"/>
      <c r="K66" s="27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276"/>
      <c r="X66" s="5"/>
      <c r="Y66" s="5"/>
      <c r="Z66" s="267"/>
      <c r="AA66" s="5"/>
      <c r="AB66" s="5"/>
      <c r="AC66" s="5"/>
      <c r="AD66" s="5"/>
      <c r="AE66" s="5"/>
      <c r="AF66" s="5"/>
    </row>
    <row r="67" spans="1:32" ht="15.75">
      <c r="A67" s="270"/>
      <c r="B67" s="272"/>
      <c r="C67" s="271"/>
      <c r="D67" s="271"/>
      <c r="E67" s="27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276"/>
      <c r="S67" s="5"/>
      <c r="T67" s="5"/>
      <c r="U67" s="5"/>
      <c r="V67" s="5"/>
      <c r="W67" s="276"/>
      <c r="X67" s="5"/>
      <c r="Y67" s="5"/>
      <c r="Z67" s="267"/>
      <c r="AA67" s="5"/>
      <c r="AB67" s="5"/>
      <c r="AC67" s="5"/>
      <c r="AD67" s="5"/>
      <c r="AE67" s="5"/>
      <c r="AF67" s="5"/>
    </row>
    <row r="68" spans="1:32" ht="15.75">
      <c r="A68" s="270"/>
      <c r="B68" s="272"/>
      <c r="C68" s="271"/>
      <c r="D68" s="271"/>
      <c r="E68" s="271"/>
      <c r="F68" s="473"/>
      <c r="G68" s="468"/>
      <c r="H68" s="473"/>
      <c r="I68" s="468"/>
      <c r="J68" s="468"/>
      <c r="K68" s="271"/>
      <c r="L68" s="5"/>
      <c r="M68" s="5"/>
      <c r="N68" s="5"/>
      <c r="O68" s="5"/>
      <c r="P68" s="5"/>
      <c r="Q68" s="5"/>
      <c r="R68" s="276"/>
      <c r="S68" s="5"/>
      <c r="T68" s="5"/>
      <c r="U68" s="5"/>
      <c r="V68" s="5"/>
      <c r="W68" s="276"/>
      <c r="X68" s="5"/>
      <c r="Y68" s="5"/>
      <c r="Z68" s="267"/>
      <c r="AA68" s="5"/>
      <c r="AB68" s="5"/>
      <c r="AC68" s="5"/>
      <c r="AD68" s="5"/>
      <c r="AE68" s="5"/>
      <c r="AF68" s="5"/>
    </row>
    <row r="69" spans="1:32" ht="15.75">
      <c r="A69" s="5"/>
      <c r="B69" s="272"/>
      <c r="C69" s="27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276"/>
      <c r="S69" s="5"/>
      <c r="T69" s="5"/>
      <c r="U69" s="5"/>
      <c r="V69" s="5"/>
      <c r="W69" s="276"/>
      <c r="X69" s="5"/>
      <c r="Y69" s="5"/>
      <c r="Z69" s="267"/>
      <c r="AA69" s="5"/>
      <c r="AB69" s="5"/>
      <c r="AC69" s="5"/>
      <c r="AD69" s="5"/>
      <c r="AE69" s="5"/>
      <c r="AF69" s="5"/>
    </row>
    <row r="70" spans="1:32" ht="15.75">
      <c r="A70" s="5"/>
      <c r="B70" s="272"/>
      <c r="C70" s="27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276"/>
      <c r="X70" s="5"/>
      <c r="Y70" s="5"/>
      <c r="Z70" s="267"/>
      <c r="AA70" s="5"/>
      <c r="AB70" s="5"/>
      <c r="AC70" s="5"/>
      <c r="AD70" s="5"/>
      <c r="AE70" s="5"/>
      <c r="AF70" s="5"/>
    </row>
    <row r="71" spans="1:32" ht="15.75">
      <c r="A71" s="5"/>
      <c r="B71" s="272"/>
      <c r="C71" s="27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276"/>
      <c r="X71" s="5"/>
      <c r="Y71" s="5"/>
      <c r="Z71" s="267"/>
      <c r="AA71" s="5"/>
      <c r="AB71" s="5"/>
      <c r="AC71" s="5"/>
      <c r="AD71" s="5"/>
      <c r="AE71" s="5"/>
      <c r="AF71" s="5"/>
    </row>
    <row r="72" spans="1:32" ht="15.75">
      <c r="A72" s="5"/>
      <c r="B72" s="272"/>
      <c r="C72" s="27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276"/>
      <c r="X72" s="5"/>
      <c r="Y72" s="5"/>
      <c r="Z72" s="267"/>
      <c r="AA72" s="5"/>
      <c r="AB72" s="5"/>
      <c r="AC72" s="5"/>
      <c r="AD72" s="5"/>
      <c r="AE72" s="5"/>
      <c r="AF72" s="5"/>
    </row>
    <row r="73" spans="1:32" ht="15.75">
      <c r="A73" s="5"/>
      <c r="B73" s="272"/>
      <c r="C73" s="27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276"/>
      <c r="X73" s="5"/>
      <c r="Y73" s="5"/>
      <c r="Z73" s="267"/>
      <c r="AA73" s="5"/>
      <c r="AB73" s="5"/>
      <c r="AC73" s="5"/>
      <c r="AD73" s="5"/>
      <c r="AE73" s="5"/>
      <c r="AF73" s="5"/>
    </row>
    <row r="74" spans="1:32" ht="15.75">
      <c r="A74" s="270"/>
      <c r="B74" s="272"/>
      <c r="C74" s="271"/>
      <c r="D74" s="271"/>
      <c r="E74" s="271"/>
      <c r="F74" s="271"/>
      <c r="G74" s="271"/>
      <c r="H74" s="271"/>
      <c r="I74" s="271"/>
      <c r="J74" s="271"/>
      <c r="K74" s="27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.75">
      <c r="A75" s="270"/>
      <c r="B75" s="5"/>
      <c r="C75" s="271"/>
      <c r="D75" s="305"/>
      <c r="E75" s="305"/>
      <c r="F75" s="305"/>
      <c r="G75" s="305"/>
      <c r="H75" s="305"/>
      <c r="I75" s="305"/>
      <c r="J75" s="305"/>
      <c r="K75" s="30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.75">
      <c r="A76" s="27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.75">
      <c r="A89" s="270"/>
      <c r="B89" s="272"/>
      <c r="C89" s="271"/>
      <c r="D89" s="271"/>
      <c r="E89" s="271"/>
      <c r="F89" s="271"/>
      <c r="G89" s="271"/>
      <c r="H89" s="271"/>
      <c r="I89" s="27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.75">
      <c r="A90" s="270"/>
      <c r="B90" s="272"/>
      <c r="C90" s="271"/>
      <c r="D90" s="271"/>
      <c r="E90" s="271"/>
      <c r="F90" s="271"/>
      <c r="G90" s="271"/>
      <c r="H90" s="271"/>
      <c r="I90" s="27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.75">
      <c r="A91" s="270"/>
      <c r="B91" s="272"/>
      <c r="C91" s="271"/>
      <c r="D91" s="271"/>
      <c r="E91" s="271"/>
      <c r="F91" s="271"/>
      <c r="G91" s="271"/>
      <c r="H91" s="271"/>
      <c r="I91" s="27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.75">
      <c r="A92" s="270"/>
      <c r="B92" s="272"/>
      <c r="C92" s="271"/>
      <c r="D92" s="271"/>
      <c r="E92" s="271"/>
      <c r="F92" s="271"/>
      <c r="G92" s="271"/>
      <c r="H92" s="271"/>
      <c r="I92" s="27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.75">
      <c r="A93" s="270"/>
      <c r="B93" s="272"/>
      <c r="C93" s="271"/>
      <c r="D93" s="271"/>
      <c r="E93" s="271"/>
      <c r="F93" s="271"/>
      <c r="G93" s="271"/>
      <c r="H93" s="271"/>
      <c r="I93" s="27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.75">
      <c r="A94" s="270"/>
      <c r="B94" s="272"/>
      <c r="C94" s="271"/>
      <c r="D94" s="271"/>
      <c r="E94" s="271"/>
      <c r="F94" s="271"/>
      <c r="G94" s="271"/>
      <c r="H94" s="271"/>
      <c r="I94" s="27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.75">
      <c r="A95" s="270"/>
      <c r="B95" s="272"/>
      <c r="C95" s="271"/>
      <c r="D95" s="271"/>
      <c r="E95" s="271"/>
      <c r="F95" s="271"/>
      <c r="G95" s="271"/>
      <c r="H95" s="271"/>
      <c r="I95" s="27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.75">
      <c r="A96" s="270"/>
      <c r="B96" s="272"/>
      <c r="C96" s="5"/>
      <c r="D96" s="271"/>
      <c r="E96" s="271"/>
      <c r="F96" s="271"/>
      <c r="G96" s="271"/>
      <c r="H96" s="271"/>
      <c r="I96" s="27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.75">
      <c r="A97" s="270"/>
      <c r="B97" s="5"/>
      <c r="C97" s="271"/>
      <c r="D97" s="271"/>
      <c r="E97" s="271"/>
      <c r="F97" s="271"/>
      <c r="G97" s="271"/>
      <c r="H97" s="271"/>
      <c r="I97" s="27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.75">
      <c r="A98" s="270"/>
      <c r="B98" s="272"/>
      <c r="C98" s="271"/>
      <c r="D98" s="271"/>
      <c r="E98" s="271"/>
      <c r="F98" s="271"/>
      <c r="G98" s="271"/>
      <c r="H98" s="271"/>
      <c r="I98" s="27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.75">
      <c r="A99" s="270"/>
      <c r="B99" s="272"/>
      <c r="C99" s="271"/>
      <c r="D99" s="271"/>
      <c r="E99" s="271"/>
      <c r="F99" s="271"/>
      <c r="G99" s="271"/>
      <c r="H99" s="271"/>
      <c r="I99" s="27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.75">
      <c r="A100" s="270"/>
      <c r="B100" s="272"/>
      <c r="C100" s="271"/>
      <c r="D100" s="345"/>
      <c r="E100" s="345"/>
      <c r="F100" s="345"/>
      <c r="G100" s="345"/>
      <c r="H100" s="345"/>
      <c r="I100" s="34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.75">
      <c r="A101" s="270"/>
      <c r="B101" s="272"/>
      <c r="C101" s="271"/>
      <c r="D101" s="345"/>
      <c r="E101" s="345"/>
      <c r="F101" s="345"/>
      <c r="G101" s="345"/>
      <c r="H101" s="345"/>
      <c r="I101" s="34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.75">
      <c r="A102" s="270"/>
      <c r="B102" s="272"/>
      <c r="C102" s="271"/>
      <c r="D102" s="271"/>
      <c r="E102" s="271"/>
      <c r="F102" s="271"/>
      <c r="G102" s="271"/>
      <c r="H102" s="271"/>
      <c r="I102" s="27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.75">
      <c r="A103" s="270"/>
      <c r="B103" s="272"/>
      <c r="C103" s="271"/>
      <c r="D103" s="271"/>
      <c r="E103" s="271"/>
      <c r="F103" s="271"/>
      <c r="G103" s="271"/>
      <c r="H103" s="271"/>
      <c r="I103" s="27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.75">
      <c r="A104" s="270"/>
      <c r="B104" s="272"/>
      <c r="C104" s="271"/>
      <c r="D104" s="271"/>
      <c r="E104" s="271"/>
      <c r="F104" s="271"/>
      <c r="G104" s="271"/>
      <c r="H104" s="271"/>
      <c r="I104" s="27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.75">
      <c r="A105" s="270"/>
      <c r="B105" s="272"/>
      <c r="C105" s="271"/>
      <c r="D105" s="271"/>
      <c r="E105" s="271"/>
      <c r="F105" s="271"/>
      <c r="G105" s="271"/>
      <c r="H105" s="271"/>
      <c r="I105" s="27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.75">
      <c r="A106" s="270"/>
      <c r="B106" s="272"/>
      <c r="C106" s="271"/>
      <c r="D106" s="271"/>
      <c r="E106" s="271"/>
      <c r="F106" s="271"/>
      <c r="G106" s="271"/>
      <c r="H106" s="271"/>
      <c r="I106" s="27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.75">
      <c r="A107" s="270"/>
      <c r="B107" s="272"/>
      <c r="C107" s="271"/>
      <c r="D107" s="271"/>
      <c r="E107" s="271"/>
      <c r="F107" s="271"/>
      <c r="G107" s="271"/>
      <c r="H107" s="271"/>
      <c r="I107" s="27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.75">
      <c r="A108" s="270"/>
      <c r="B108" s="272"/>
      <c r="C108" s="271"/>
      <c r="D108" s="271"/>
      <c r="E108" s="271"/>
      <c r="F108" s="271"/>
      <c r="G108" s="271"/>
      <c r="H108" s="271"/>
      <c r="I108" s="27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.75">
      <c r="A109" s="270"/>
      <c r="B109" s="272"/>
      <c r="C109" s="271"/>
      <c r="D109" s="271"/>
      <c r="E109" s="271"/>
      <c r="F109" s="271"/>
      <c r="G109" s="271"/>
      <c r="H109" s="271"/>
      <c r="I109" s="27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.75">
      <c r="A110" s="270"/>
      <c r="B110" s="272"/>
      <c r="C110" s="271"/>
      <c r="D110" s="271"/>
      <c r="E110" s="271"/>
      <c r="F110" s="271"/>
      <c r="G110" s="271"/>
      <c r="H110" s="271"/>
      <c r="I110" s="27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.75">
      <c r="A111" s="270"/>
      <c r="B111" s="272"/>
      <c r="C111" s="271"/>
      <c r="D111" s="271"/>
      <c r="E111" s="271"/>
      <c r="F111" s="271"/>
      <c r="G111" s="271"/>
      <c r="H111" s="271"/>
      <c r="I111" s="27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.75">
      <c r="A112" s="270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.75">
      <c r="A113" s="270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.75">
      <c r="A114" s="270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.75">
      <c r="A115" s="270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.75">
      <c r="A116" s="270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.75">
      <c r="A117" s="270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.75">
      <c r="A118" s="270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.75">
      <c r="A119" s="270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.75">
      <c r="A120" s="270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.75">
      <c r="A121" s="270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.75">
      <c r="A122" s="270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.75">
      <c r="A123" s="270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.75">
      <c r="A124" s="270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.75">
      <c r="A125" s="270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.75">
      <c r="A126" s="270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.75">
      <c r="A127" s="270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.75">
      <c r="A128" s="270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.75">
      <c r="A129" s="270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.75">
      <c r="A130" s="270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.75">
      <c r="A131" s="270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.75">
      <c r="A132" s="270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.75">
      <c r="A133" s="270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.75">
      <c r="A134" s="270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.75">
      <c r="A135" s="270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.75">
      <c r="A136" s="270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.75">
      <c r="A137" s="270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.75">
      <c r="A138" s="270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.75">
      <c r="A139" s="270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.75">
      <c r="A140" s="270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.75">
      <c r="A141" s="270"/>
      <c r="B141" s="272"/>
      <c r="C141" s="271"/>
      <c r="D141" s="271"/>
      <c r="E141" s="271"/>
      <c r="F141" s="271"/>
      <c r="G141" s="271"/>
      <c r="H141" s="271"/>
      <c r="I141" s="27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.75">
      <c r="A142" s="270"/>
      <c r="B142" s="272"/>
      <c r="C142" s="271"/>
      <c r="D142" s="271"/>
      <c r="E142" s="271"/>
      <c r="F142" s="271"/>
      <c r="G142" s="271"/>
      <c r="H142" s="271"/>
      <c r="I142" s="271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.75">
      <c r="A143" s="270"/>
      <c r="B143" s="272"/>
      <c r="C143" s="271"/>
      <c r="D143" s="271"/>
      <c r="E143" s="271"/>
      <c r="F143" s="271"/>
      <c r="G143" s="271"/>
      <c r="H143" s="271"/>
      <c r="I143" s="27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.75">
      <c r="A144" s="270"/>
      <c r="B144" s="272"/>
      <c r="C144" s="271"/>
      <c r="D144" s="271"/>
      <c r="E144" s="271"/>
      <c r="F144" s="271"/>
      <c r="G144" s="271"/>
      <c r="H144" s="271"/>
      <c r="I144" s="27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.75">
      <c r="A145" s="270"/>
      <c r="B145" s="272"/>
      <c r="C145" s="271"/>
      <c r="D145" s="345"/>
      <c r="E145" s="345"/>
      <c r="F145" s="345"/>
      <c r="G145" s="345"/>
      <c r="H145" s="345"/>
      <c r="I145" s="34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.75">
      <c r="A146" s="270"/>
      <c r="B146" s="346"/>
      <c r="C146" s="270"/>
      <c r="D146" s="270"/>
      <c r="E146" s="270"/>
      <c r="F146" s="270"/>
      <c r="G146" s="270"/>
      <c r="H146" s="270"/>
      <c r="I146" s="27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  <row r="1001" spans="1:3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</row>
    <row r="1002" spans="1:3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</row>
    <row r="1003" spans="1:3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</row>
    <row r="1004" spans="1:3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</row>
    <row r="1005" spans="1:3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</row>
    <row r="1006" spans="1:3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</row>
    <row r="1007" spans="1:3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</row>
    <row r="1008" spans="1:3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</row>
    <row r="1009" spans="1:3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</row>
    <row r="1010" spans="1:3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</row>
    <row r="1011" spans="1:3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</row>
    <row r="1012" spans="1:3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</row>
    <row r="1013" spans="1:3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</row>
    <row r="1014" spans="1:3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</row>
    <row r="1015" spans="1:3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</row>
    <row r="1016" spans="1:3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</row>
    <row r="1017" spans="1:32" ht="15.7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</row>
    <row r="1018" spans="1:32" ht="15.7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</row>
  </sheetData>
  <mergeCells count="13">
    <mergeCell ref="F68:G68"/>
    <mergeCell ref="H68:J68"/>
    <mergeCell ref="O5:Q5"/>
    <mergeCell ref="O6:Q6"/>
    <mergeCell ref="O18:R18"/>
    <mergeCell ref="O21:P21"/>
    <mergeCell ref="R26:V26"/>
    <mergeCell ref="F27:G27"/>
    <mergeCell ref="R28:S28"/>
    <mergeCell ref="F64:G64"/>
    <mergeCell ref="H64:J64"/>
    <mergeCell ref="F66:G66"/>
    <mergeCell ref="H66:J66"/>
  </mergeCells>
  <hyperlinks>
    <hyperlink ref="R26" r:id="rId1" location=":~:text=Indeed%2C%20malt%20is%20the%20main,to%20obtain%20the%20finished%20product."/>
    <hyperlink ref="R28" r:id="rId2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1004"/>
  <sheetViews>
    <sheetView showGridLines="0" topLeftCell="A5" workbookViewId="0">
      <selection activeCell="E32" sqref="E32"/>
    </sheetView>
  </sheetViews>
  <sheetFormatPr defaultColWidth="12.5703125" defaultRowHeight="15" customHeight="1"/>
  <cols>
    <col min="1" max="1" width="7" style="1" customWidth="1"/>
    <col min="2" max="2" width="27.85546875" style="1" customWidth="1"/>
    <col min="3" max="3" width="24.5703125" style="1" customWidth="1"/>
    <col min="4" max="4" width="39.7109375" style="1" customWidth="1"/>
    <col min="5" max="5" width="12.85546875" style="1" customWidth="1"/>
    <col min="6" max="10" width="12.5703125" style="1"/>
    <col min="11" max="11" width="13" style="1" customWidth="1"/>
    <col min="12" max="16384" width="12.5703125" style="1"/>
  </cols>
  <sheetData>
    <row r="1" spans="1:11" ht="15.75" customHeight="1"/>
    <row r="2" spans="1:11" ht="15.75" customHeight="1">
      <c r="A2" s="74"/>
      <c r="B2" s="74" t="s">
        <v>133</v>
      </c>
    </row>
    <row r="3" spans="1:11" ht="15.75" customHeight="1" thickBot="1">
      <c r="B3" s="12"/>
      <c r="C3" s="12"/>
      <c r="D3" s="12"/>
      <c r="E3" s="12"/>
    </row>
    <row r="4" spans="1:11" ht="15.75" customHeight="1"/>
    <row r="5" spans="1:11" ht="15.75" customHeight="1">
      <c r="A5" s="29"/>
      <c r="B5" s="29" t="s">
        <v>134</v>
      </c>
      <c r="E5" s="3" t="s">
        <v>135</v>
      </c>
      <c r="F5" s="3">
        <f>65/50</f>
        <v>1.3</v>
      </c>
      <c r="G5" s="3" t="s">
        <v>136</v>
      </c>
    </row>
    <row r="6" spans="1:11" ht="15.75" customHeight="1"/>
    <row r="7" spans="1:11" ht="15.75" customHeight="1" thickBot="1">
      <c r="A7" s="75"/>
      <c r="B7" s="76" t="s">
        <v>137</v>
      </c>
      <c r="C7" s="76" t="s">
        <v>138</v>
      </c>
      <c r="D7" s="76" t="s">
        <v>139</v>
      </c>
      <c r="E7" s="77" t="s">
        <v>140</v>
      </c>
      <c r="F7" s="78"/>
    </row>
    <row r="8" spans="1:11" ht="15.75" customHeight="1" thickBot="1">
      <c r="A8" s="21"/>
      <c r="B8" s="21"/>
      <c r="C8" s="21"/>
      <c r="D8" s="21" t="s">
        <v>25</v>
      </c>
      <c r="E8" s="79">
        <f t="shared" ref="E8:E9" si="0">5000*$F$5</f>
        <v>6500</v>
      </c>
      <c r="F8" s="21"/>
    </row>
    <row r="9" spans="1:11" ht="15.75" customHeight="1" thickBot="1">
      <c r="A9" s="21"/>
      <c r="B9" s="21"/>
      <c r="C9" s="21"/>
      <c r="D9" s="21" t="s">
        <v>26</v>
      </c>
      <c r="E9" s="79">
        <f t="shared" si="0"/>
        <v>6500</v>
      </c>
      <c r="F9" s="21"/>
    </row>
    <row r="10" spans="1:11" ht="15.75" customHeight="1" thickBot="1">
      <c r="A10" s="21"/>
      <c r="B10" s="21"/>
      <c r="C10" s="21"/>
      <c r="D10" s="21" t="s">
        <v>27</v>
      </c>
      <c r="E10" s="79">
        <f t="shared" ref="E10:E11" si="1">3000*$F$5</f>
        <v>3900</v>
      </c>
      <c r="F10" s="21"/>
    </row>
    <row r="11" spans="1:11" ht="15.75" customHeight="1" thickBot="1">
      <c r="A11" s="21"/>
      <c r="B11" s="21"/>
      <c r="C11" s="21"/>
      <c r="D11" s="21" t="s">
        <v>28</v>
      </c>
      <c r="E11" s="79">
        <f t="shared" si="1"/>
        <v>3900</v>
      </c>
      <c r="F11" s="21"/>
    </row>
    <row r="12" spans="1:11" ht="15.75" customHeight="1" thickBot="1">
      <c r="A12" s="21"/>
      <c r="B12" s="21"/>
      <c r="C12" s="21"/>
      <c r="D12" s="21" t="s">
        <v>56</v>
      </c>
      <c r="E12" s="79">
        <f>2200*$F$5</f>
        <v>2860</v>
      </c>
      <c r="F12" s="21"/>
    </row>
    <row r="13" spans="1:11" ht="15.75" customHeight="1" thickBot="1">
      <c r="A13" s="21"/>
      <c r="B13" s="21"/>
      <c r="C13" s="21"/>
      <c r="D13" s="21" t="s">
        <v>30</v>
      </c>
      <c r="E13" s="79">
        <f>1200*$F$5</f>
        <v>1560</v>
      </c>
      <c r="F13" s="21"/>
    </row>
    <row r="14" spans="1:11" ht="15.75" customHeight="1" thickBot="1">
      <c r="A14" s="21"/>
      <c r="B14" s="21"/>
      <c r="C14" s="21"/>
      <c r="D14" s="21" t="s">
        <v>31</v>
      </c>
      <c r="E14" s="79">
        <f>1500*$F$5</f>
        <v>1950</v>
      </c>
      <c r="F14" s="21"/>
    </row>
    <row r="15" spans="1:11" ht="15.75" customHeight="1" thickBot="1">
      <c r="A15" s="21"/>
      <c r="B15" s="21"/>
      <c r="C15" s="21"/>
      <c r="D15" s="21" t="s">
        <v>32</v>
      </c>
      <c r="E15" s="79">
        <f>1200*$F$5</f>
        <v>1560</v>
      </c>
      <c r="F15" s="21"/>
    </row>
    <row r="16" spans="1:11" ht="15.75" customHeight="1" thickBot="1">
      <c r="A16" s="29"/>
      <c r="B16" s="21"/>
      <c r="C16" s="21"/>
      <c r="D16" s="21" t="s">
        <v>33</v>
      </c>
      <c r="E16" s="79">
        <f>1500*$F$5</f>
        <v>1950</v>
      </c>
      <c r="F16" s="21"/>
      <c r="K16" s="3"/>
    </row>
    <row r="17" spans="1:6" ht="15.75" customHeight="1" thickBot="1">
      <c r="A17" s="21"/>
      <c r="B17" s="21"/>
      <c r="C17" s="21"/>
      <c r="D17" s="21" t="s">
        <v>34</v>
      </c>
      <c r="E17" s="79">
        <f t="shared" ref="E17:E22" si="2">1200*$F$5</f>
        <v>1560</v>
      </c>
      <c r="F17" s="21"/>
    </row>
    <row r="18" spans="1:6" ht="15.75" customHeight="1" thickBot="1">
      <c r="A18" s="21"/>
      <c r="B18" s="21"/>
      <c r="C18" s="21"/>
      <c r="D18" s="21" t="s">
        <v>35</v>
      </c>
      <c r="E18" s="79">
        <f t="shared" si="2"/>
        <v>1560</v>
      </c>
      <c r="F18" s="21"/>
    </row>
    <row r="19" spans="1:6" ht="15.75" customHeight="1" thickBot="1">
      <c r="A19" s="21"/>
      <c r="B19" s="21"/>
      <c r="C19" s="21"/>
      <c r="D19" s="21" t="s">
        <v>36</v>
      </c>
      <c r="E19" s="79">
        <f t="shared" si="2"/>
        <v>1560</v>
      </c>
      <c r="F19" s="21"/>
    </row>
    <row r="20" spans="1:6" ht="15.75" customHeight="1" thickBot="1">
      <c r="A20" s="21"/>
      <c r="B20" s="21"/>
      <c r="C20" s="21"/>
      <c r="D20" s="21" t="s">
        <v>37</v>
      </c>
      <c r="E20" s="79">
        <f t="shared" si="2"/>
        <v>1560</v>
      </c>
      <c r="F20" s="21"/>
    </row>
    <row r="21" spans="1:6" ht="15.75" customHeight="1" thickBot="1">
      <c r="D21" s="21" t="s">
        <v>38</v>
      </c>
      <c r="E21" s="79">
        <f t="shared" si="2"/>
        <v>1560</v>
      </c>
      <c r="F21" s="21"/>
    </row>
    <row r="22" spans="1:6" ht="15.75" customHeight="1" thickBot="1">
      <c r="D22" s="21" t="s">
        <v>39</v>
      </c>
      <c r="E22" s="79">
        <f t="shared" si="2"/>
        <v>1560</v>
      </c>
      <c r="F22" s="21"/>
    </row>
    <row r="23" spans="1:6" ht="15.75" customHeight="1" thickBot="1">
      <c r="D23" s="21" t="s">
        <v>40</v>
      </c>
      <c r="E23" s="79">
        <f>3000*$F$5</f>
        <v>3900</v>
      </c>
      <c r="F23" s="21"/>
    </row>
    <row r="24" spans="1:6" ht="15.75" customHeight="1" thickBot="1">
      <c r="D24" s="21" t="s">
        <v>41</v>
      </c>
      <c r="E24" s="79">
        <f t="shared" ref="E24:E25" si="3">4500*$F$5</f>
        <v>5850</v>
      </c>
      <c r="F24" s="21"/>
    </row>
    <row r="25" spans="1:6" ht="15.75" customHeight="1" thickBot="1">
      <c r="D25" s="21" t="s">
        <v>42</v>
      </c>
      <c r="E25" s="79">
        <f t="shared" si="3"/>
        <v>5850</v>
      </c>
      <c r="F25" s="21"/>
    </row>
    <row r="26" spans="1:6" ht="15.75" customHeight="1" thickBot="1">
      <c r="D26" s="21" t="s">
        <v>29</v>
      </c>
      <c r="E26" s="79">
        <f>1500*$F$5</f>
        <v>1950</v>
      </c>
      <c r="F26" s="21"/>
    </row>
    <row r="27" spans="1:6" s="265" customFormat="1" ht="15.75" customHeight="1" thickBot="1">
      <c r="D27" s="21" t="s">
        <v>384</v>
      </c>
      <c r="E27" s="353">
        <v>3900</v>
      </c>
      <c r="F27" s="21"/>
    </row>
    <row r="28" spans="1:6" s="265" customFormat="1" ht="15.75" customHeight="1" thickBot="1">
      <c r="D28" s="21" t="s">
        <v>385</v>
      </c>
      <c r="E28" s="79">
        <f t="shared" ref="E28:E29" si="4">1200*$F$5</f>
        <v>1560</v>
      </c>
      <c r="F28" s="21"/>
    </row>
    <row r="29" spans="1:6" s="265" customFormat="1" ht="15.75" customHeight="1" thickBot="1">
      <c r="D29" s="21" t="s">
        <v>386</v>
      </c>
      <c r="E29" s="79">
        <f t="shared" si="4"/>
        <v>1560</v>
      </c>
      <c r="F29" s="21"/>
    </row>
    <row r="30" spans="1:6" s="265" customFormat="1" ht="15.75" customHeight="1" thickBot="1">
      <c r="D30" s="21" t="s">
        <v>387</v>
      </c>
      <c r="E30" s="79">
        <f t="shared" ref="E30" si="5">4500*$F$5</f>
        <v>5850</v>
      </c>
      <c r="F30" s="21"/>
    </row>
    <row r="31" spans="1:6" ht="15.75" customHeight="1">
      <c r="D31" s="21"/>
      <c r="E31" s="44">
        <f>SUM(E8:E30)</f>
        <v>70460</v>
      </c>
      <c r="F31" s="21"/>
    </row>
    <row r="32" spans="1:6" ht="15.75" customHeight="1"/>
    <row r="33" spans="1:7" ht="15.75" customHeight="1"/>
    <row r="34" spans="1:7" ht="15.75" customHeight="1">
      <c r="A34" s="80"/>
      <c r="B34" s="80"/>
      <c r="C34" s="80"/>
      <c r="D34" s="80"/>
      <c r="E34" s="80"/>
    </row>
    <row r="35" spans="1:7" ht="15.75" customHeight="1">
      <c r="B35" s="81" t="s">
        <v>141</v>
      </c>
      <c r="C35" s="81" t="s">
        <v>142</v>
      </c>
      <c r="D35" s="81" t="s">
        <v>143</v>
      </c>
      <c r="E35" s="81" t="s">
        <v>144</v>
      </c>
      <c r="F35" s="81"/>
      <c r="G35" s="81"/>
    </row>
    <row r="36" spans="1:7" ht="15.75" customHeight="1">
      <c r="B36" s="81" t="s">
        <v>25</v>
      </c>
      <c r="C36" s="81"/>
      <c r="D36" s="81"/>
      <c r="E36" s="81"/>
      <c r="F36" s="81"/>
      <c r="G36" s="81"/>
    </row>
    <row r="37" spans="1:7" ht="15.75" customHeight="1">
      <c r="B37" s="81" t="s">
        <v>26</v>
      </c>
      <c r="C37" s="81"/>
      <c r="D37" s="81"/>
      <c r="E37" s="81"/>
      <c r="F37" s="81"/>
      <c r="G37" s="81"/>
    </row>
    <row r="38" spans="1:7" ht="15.75" customHeight="1">
      <c r="B38" s="81" t="s">
        <v>145</v>
      </c>
      <c r="C38" s="81"/>
      <c r="D38" s="81"/>
      <c r="E38" s="81"/>
      <c r="F38" s="81"/>
      <c r="G38" s="81"/>
    </row>
    <row r="39" spans="1:7" ht="15.75" customHeight="1">
      <c r="B39" s="81" t="s">
        <v>146</v>
      </c>
      <c r="C39" s="81"/>
      <c r="D39" s="81"/>
      <c r="E39" s="81"/>
      <c r="F39" s="81"/>
      <c r="G39" s="81"/>
    </row>
    <row r="40" spans="1:7" ht="15.75" customHeight="1">
      <c r="B40" s="81" t="s">
        <v>147</v>
      </c>
      <c r="C40" s="81"/>
      <c r="D40" s="81"/>
      <c r="E40" s="81"/>
      <c r="F40" s="81"/>
      <c r="G40" s="81"/>
    </row>
    <row r="41" spans="1:7" ht="15.75" customHeight="1">
      <c r="B41" s="81"/>
      <c r="C41" s="81"/>
      <c r="D41" s="81"/>
      <c r="E41" s="81"/>
      <c r="F41" s="81"/>
      <c r="G41" s="81"/>
    </row>
    <row r="42" spans="1:7" ht="15.75" customHeight="1">
      <c r="B42" s="81"/>
      <c r="C42" s="81"/>
      <c r="D42" s="81"/>
      <c r="E42" s="81"/>
      <c r="F42" s="81"/>
      <c r="G42" s="81"/>
    </row>
    <row r="43" spans="1:7" ht="15.75" customHeight="1">
      <c r="B43" s="81"/>
      <c r="C43" s="82"/>
      <c r="D43" s="82"/>
      <c r="E43" s="82"/>
      <c r="F43" s="81"/>
      <c r="G43" s="81"/>
    </row>
    <row r="44" spans="1:7" ht="15.75" customHeight="1">
      <c r="B44" s="81"/>
      <c r="C44" s="82"/>
      <c r="D44" s="82"/>
      <c r="E44" s="82"/>
      <c r="F44" s="81"/>
      <c r="G44" s="81"/>
    </row>
    <row r="45" spans="1:7" ht="15.75" customHeight="1">
      <c r="B45" s="81"/>
      <c r="C45" s="82"/>
      <c r="D45" s="82"/>
      <c r="E45" s="82"/>
      <c r="F45" s="81"/>
      <c r="G45" s="81"/>
    </row>
    <row r="46" spans="1:7" ht="15.75" customHeight="1">
      <c r="B46" s="81"/>
      <c r="C46" s="82"/>
      <c r="D46" s="82"/>
      <c r="E46" s="82"/>
      <c r="F46" s="81"/>
      <c r="G46" s="81"/>
    </row>
    <row r="47" spans="1:7" ht="15.75" customHeight="1">
      <c r="B47" s="81"/>
      <c r="C47" s="82"/>
      <c r="D47" s="82"/>
      <c r="E47" s="82"/>
      <c r="F47" s="81"/>
      <c r="G47" s="81"/>
    </row>
    <row r="48" spans="1:7" ht="15.75" customHeight="1">
      <c r="B48" s="81"/>
      <c r="C48" s="82"/>
      <c r="D48" s="82"/>
      <c r="E48" s="82"/>
      <c r="F48" s="81"/>
      <c r="G48" s="81"/>
    </row>
    <row r="49" spans="1:7" ht="15.75" customHeight="1">
      <c r="B49" s="81"/>
      <c r="C49" s="82"/>
      <c r="D49" s="82"/>
      <c r="E49" s="82"/>
      <c r="F49" s="81"/>
      <c r="G49" s="81"/>
    </row>
    <row r="50" spans="1:7" ht="15.75" customHeight="1">
      <c r="B50" s="81"/>
      <c r="C50" s="82"/>
      <c r="D50" s="82"/>
      <c r="E50" s="82"/>
      <c r="F50" s="81"/>
      <c r="G50" s="81"/>
    </row>
    <row r="51" spans="1:7" ht="15.75" customHeight="1">
      <c r="C51" s="21"/>
      <c r="D51" s="21"/>
      <c r="E51" s="21"/>
    </row>
    <row r="52" spans="1:7" ht="15.75" customHeight="1">
      <c r="C52" s="21"/>
      <c r="D52" s="21"/>
      <c r="E52" s="21"/>
    </row>
    <row r="53" spans="1:7" ht="15.75" customHeight="1">
      <c r="A53" s="21"/>
      <c r="B53" s="21"/>
      <c r="C53" s="21"/>
      <c r="D53" s="21"/>
      <c r="E53" s="21"/>
    </row>
    <row r="54" spans="1:7" ht="15.75" customHeight="1">
      <c r="A54" s="21"/>
      <c r="B54" s="21"/>
      <c r="C54" s="21"/>
      <c r="D54" s="21"/>
      <c r="E54" s="21"/>
    </row>
    <row r="55" spans="1:7" ht="15.75" customHeight="1">
      <c r="A55" s="21"/>
      <c r="B55" s="21"/>
      <c r="C55" s="21"/>
      <c r="D55" s="21"/>
      <c r="E55" s="21"/>
    </row>
    <row r="56" spans="1:7" ht="15.75" customHeight="1">
      <c r="A56" s="21"/>
      <c r="B56" s="21"/>
      <c r="C56" s="21"/>
      <c r="D56" s="21"/>
      <c r="E56" s="21"/>
    </row>
    <row r="57" spans="1:7" ht="15.75" customHeight="1">
      <c r="A57" s="21"/>
      <c r="B57" s="21"/>
      <c r="C57" s="21"/>
      <c r="D57" s="21"/>
      <c r="E57" s="21"/>
    </row>
    <row r="58" spans="1:7" ht="15.75" customHeight="1">
      <c r="A58" s="21"/>
      <c r="B58" s="21"/>
      <c r="C58" s="21"/>
      <c r="D58" s="21"/>
      <c r="E58" s="21"/>
    </row>
    <row r="59" spans="1:7" ht="15.75" customHeight="1"/>
    <row r="60" spans="1:7" ht="15.75" customHeight="1">
      <c r="A60" s="21"/>
      <c r="B60" s="21"/>
      <c r="C60" s="21"/>
      <c r="D60" s="21"/>
      <c r="E60" s="21"/>
    </row>
    <row r="61" spans="1:7" ht="15.75" customHeight="1">
      <c r="A61" s="21"/>
      <c r="B61" s="21"/>
      <c r="C61" s="21"/>
      <c r="D61" s="21"/>
      <c r="E61" s="21"/>
    </row>
    <row r="62" spans="1:7" ht="15.75" customHeight="1">
      <c r="A62" s="21"/>
      <c r="B62" s="21"/>
      <c r="C62" s="21"/>
      <c r="D62" s="21"/>
      <c r="E62" s="21"/>
    </row>
    <row r="63" spans="1:7" ht="15.75" customHeight="1">
      <c r="A63" s="21"/>
      <c r="B63" s="21"/>
      <c r="C63" s="21"/>
      <c r="D63" s="21"/>
      <c r="E63" s="21"/>
    </row>
    <row r="64" spans="1:7" ht="15.75" customHeight="1">
      <c r="A64" s="21"/>
      <c r="B64" s="21"/>
      <c r="C64" s="21"/>
      <c r="D64" s="21"/>
      <c r="E64" s="21"/>
    </row>
    <row r="65" spans="1:5" ht="15.75" customHeight="1">
      <c r="A65" s="21"/>
      <c r="B65" s="21"/>
      <c r="C65" s="21"/>
      <c r="D65" s="21"/>
      <c r="E65" s="21"/>
    </row>
    <row r="66" spans="1:5" ht="15.75" customHeight="1">
      <c r="A66" s="21"/>
      <c r="B66" s="21"/>
      <c r="C66" s="21"/>
      <c r="D66" s="21"/>
      <c r="E66" s="21"/>
    </row>
    <row r="67" spans="1:5" ht="15.75" customHeight="1">
      <c r="A67" s="21"/>
      <c r="B67" s="21"/>
      <c r="C67" s="21"/>
      <c r="D67" s="21"/>
      <c r="E67" s="21"/>
    </row>
    <row r="68" spans="1:5" ht="15.75" customHeight="1">
      <c r="A68" s="21"/>
      <c r="B68" s="21"/>
      <c r="C68" s="21"/>
      <c r="D68" s="21"/>
      <c r="E68" s="21"/>
    </row>
    <row r="69" spans="1:5" ht="15.75" customHeight="1">
      <c r="A69" s="21"/>
      <c r="B69" s="21"/>
      <c r="C69" s="21"/>
      <c r="D69" s="21"/>
      <c r="E69" s="21"/>
    </row>
    <row r="70" spans="1:5" ht="15.75" customHeight="1">
      <c r="A70" s="21"/>
      <c r="B70" s="21"/>
      <c r="C70" s="21"/>
      <c r="D70" s="21"/>
      <c r="E70" s="21"/>
    </row>
    <row r="71" spans="1:5" ht="15.75" customHeight="1">
      <c r="A71" s="21"/>
      <c r="B71" s="21"/>
      <c r="C71" s="21"/>
      <c r="D71" s="21"/>
      <c r="E71" s="21"/>
    </row>
    <row r="72" spans="1:5" ht="15.75" customHeight="1">
      <c r="A72" s="21"/>
      <c r="B72" s="21"/>
      <c r="C72" s="21"/>
      <c r="D72" s="21"/>
      <c r="E72" s="21"/>
    </row>
    <row r="73" spans="1:5" ht="15.75" customHeight="1">
      <c r="A73" s="21"/>
      <c r="B73" s="21"/>
      <c r="C73" s="21"/>
      <c r="D73" s="21"/>
      <c r="E73" s="21"/>
    </row>
    <row r="74" spans="1:5" ht="15.75" customHeight="1">
      <c r="A74" s="21"/>
      <c r="B74" s="21"/>
      <c r="C74" s="21"/>
      <c r="D74" s="21"/>
      <c r="E74" s="21"/>
    </row>
    <row r="75" spans="1:5" ht="15.75" customHeight="1">
      <c r="A75" s="21"/>
      <c r="B75" s="21"/>
      <c r="C75" s="21"/>
      <c r="D75" s="21"/>
      <c r="E75" s="21"/>
    </row>
    <row r="76" spans="1:5" ht="15.75" customHeight="1">
      <c r="A76" s="21"/>
      <c r="B76" s="21"/>
      <c r="C76" s="21"/>
      <c r="D76" s="21"/>
      <c r="E76" s="21"/>
    </row>
    <row r="77" spans="1:5" ht="15.75" customHeight="1">
      <c r="A77" s="21"/>
      <c r="B77" s="21"/>
      <c r="C77" s="21"/>
      <c r="D77" s="21"/>
      <c r="E77" s="21"/>
    </row>
    <row r="78" spans="1:5" ht="15.75" customHeight="1">
      <c r="A78" s="21"/>
      <c r="B78" s="21"/>
      <c r="C78" s="21"/>
      <c r="D78" s="21"/>
      <c r="E78" s="21"/>
    </row>
    <row r="79" spans="1:5" ht="15.75" customHeight="1">
      <c r="A79" s="21"/>
      <c r="B79" s="21"/>
      <c r="C79" s="21"/>
      <c r="D79" s="21"/>
      <c r="E79" s="21"/>
    </row>
    <row r="80" spans="1:5" ht="15.75" customHeight="1">
      <c r="A80" s="21"/>
      <c r="B80" s="21"/>
      <c r="C80" s="21"/>
      <c r="D80" s="21"/>
      <c r="E80" s="21"/>
    </row>
    <row r="81" spans="1:5" ht="15.75" customHeight="1">
      <c r="A81" s="21"/>
      <c r="B81" s="21"/>
      <c r="C81" s="21"/>
      <c r="D81" s="21"/>
      <c r="E81" s="21"/>
    </row>
    <row r="82" spans="1:5" ht="15.75" customHeight="1">
      <c r="A82" s="21"/>
      <c r="B82" s="21"/>
      <c r="C82" s="21"/>
      <c r="D82" s="21"/>
      <c r="E82" s="21"/>
    </row>
    <row r="83" spans="1:5" ht="15.75" customHeight="1">
      <c r="A83" s="21"/>
      <c r="B83" s="21"/>
      <c r="C83" s="21"/>
      <c r="D83" s="21"/>
      <c r="E83" s="21"/>
    </row>
    <row r="84" spans="1:5" ht="15.75" customHeight="1">
      <c r="A84" s="21"/>
      <c r="B84" s="21"/>
      <c r="C84" s="21"/>
      <c r="D84" s="21"/>
      <c r="E84" s="21"/>
    </row>
    <row r="85" spans="1:5" ht="15.75" customHeight="1">
      <c r="A85" s="21"/>
      <c r="B85" s="21"/>
      <c r="C85" s="21"/>
      <c r="D85" s="21"/>
      <c r="E85" s="21"/>
    </row>
    <row r="86" spans="1:5" ht="15.75" customHeight="1">
      <c r="A86" s="21"/>
      <c r="B86" s="21"/>
      <c r="C86" s="21"/>
      <c r="D86" s="21"/>
      <c r="E86" s="21"/>
    </row>
    <row r="87" spans="1:5" ht="15.75" customHeight="1">
      <c r="A87" s="21"/>
      <c r="B87" s="21"/>
      <c r="C87" s="21"/>
      <c r="D87" s="21"/>
      <c r="E87" s="21"/>
    </row>
    <row r="88" spans="1:5" ht="15.75" customHeight="1">
      <c r="A88" s="21"/>
      <c r="B88" s="21"/>
      <c r="C88" s="21"/>
      <c r="D88" s="21"/>
      <c r="E88" s="21"/>
    </row>
    <row r="89" spans="1:5" ht="15.75" customHeight="1">
      <c r="A89" s="21"/>
      <c r="B89" s="21"/>
      <c r="C89" s="21"/>
      <c r="D89" s="21"/>
      <c r="E89" s="21"/>
    </row>
    <row r="90" spans="1:5" ht="15.75" customHeight="1">
      <c r="A90" s="21"/>
      <c r="B90" s="21"/>
      <c r="C90" s="21"/>
      <c r="D90" s="21"/>
      <c r="E90" s="21"/>
    </row>
    <row r="91" spans="1:5" ht="15.75" customHeight="1">
      <c r="A91" s="21"/>
      <c r="B91" s="21"/>
      <c r="C91" s="21"/>
      <c r="D91" s="21"/>
      <c r="E91" s="21"/>
    </row>
    <row r="92" spans="1:5" ht="15.75" customHeight="1">
      <c r="A92" s="21"/>
      <c r="B92" s="21"/>
      <c r="C92" s="21"/>
      <c r="D92" s="21"/>
      <c r="E92" s="21"/>
    </row>
    <row r="93" spans="1:5" ht="15.75" customHeight="1">
      <c r="A93" s="21"/>
      <c r="B93" s="21"/>
      <c r="C93" s="21"/>
      <c r="D93" s="21"/>
      <c r="E93" s="21"/>
    </row>
    <row r="94" spans="1:5" ht="15.75" customHeight="1">
      <c r="A94" s="21"/>
      <c r="B94" s="21"/>
      <c r="C94" s="21"/>
      <c r="D94" s="21"/>
      <c r="E94" s="21"/>
    </row>
    <row r="95" spans="1:5" ht="15.75" customHeight="1">
      <c r="A95" s="21"/>
      <c r="B95" s="21"/>
      <c r="C95" s="21"/>
      <c r="D95" s="21"/>
      <c r="E95" s="21"/>
    </row>
    <row r="96" spans="1:5" ht="15.75" customHeight="1">
      <c r="A96" s="21"/>
      <c r="B96" s="21"/>
      <c r="C96" s="21"/>
      <c r="D96" s="21"/>
      <c r="E96" s="21"/>
    </row>
    <row r="97" spans="1:5" ht="15.75" customHeight="1">
      <c r="A97" s="21"/>
      <c r="B97" s="21"/>
      <c r="C97" s="21"/>
      <c r="D97" s="21"/>
      <c r="E97" s="21"/>
    </row>
    <row r="98" spans="1:5" ht="15.75" customHeight="1">
      <c r="A98" s="21"/>
      <c r="B98" s="21"/>
      <c r="C98" s="21"/>
      <c r="D98" s="21"/>
      <c r="E98" s="21"/>
    </row>
    <row r="99" spans="1:5" ht="15.75" customHeight="1">
      <c r="A99" s="21"/>
      <c r="B99" s="21"/>
      <c r="C99" s="21"/>
      <c r="D99" s="21"/>
      <c r="E99" s="21"/>
    </row>
    <row r="100" spans="1:5" ht="15.75" customHeight="1">
      <c r="A100" s="21"/>
      <c r="B100" s="21"/>
      <c r="C100" s="21"/>
      <c r="D100" s="21"/>
      <c r="E100" s="21"/>
    </row>
    <row r="101" spans="1:5" ht="15.75" customHeight="1">
      <c r="A101" s="21"/>
      <c r="B101" s="21"/>
      <c r="C101" s="21"/>
      <c r="D101" s="21"/>
      <c r="E101" s="21"/>
    </row>
    <row r="102" spans="1:5" ht="15.75" customHeight="1">
      <c r="A102" s="21"/>
      <c r="B102" s="21"/>
      <c r="C102" s="21"/>
      <c r="D102" s="21"/>
      <c r="E102" s="21"/>
    </row>
    <row r="103" spans="1:5" ht="15.75" customHeight="1">
      <c r="A103" s="21"/>
      <c r="B103" s="21"/>
      <c r="C103" s="21"/>
      <c r="D103" s="21"/>
      <c r="E103" s="21"/>
    </row>
    <row r="104" spans="1:5" ht="15.75" customHeight="1">
      <c r="A104" s="21"/>
      <c r="B104" s="21"/>
      <c r="C104" s="21"/>
      <c r="D104" s="21"/>
      <c r="E104" s="21"/>
    </row>
    <row r="105" spans="1:5" ht="15.75" customHeight="1">
      <c r="A105" s="21"/>
      <c r="B105" s="21"/>
      <c r="C105" s="21"/>
      <c r="D105" s="21"/>
      <c r="E105" s="21"/>
    </row>
    <row r="106" spans="1:5" ht="15.75" customHeight="1">
      <c r="A106" s="21"/>
      <c r="B106" s="21"/>
      <c r="C106" s="21"/>
      <c r="D106" s="21"/>
      <c r="E106" s="21"/>
    </row>
    <row r="107" spans="1:5" ht="15.75" customHeight="1">
      <c r="A107" s="21"/>
      <c r="B107" s="21"/>
      <c r="C107" s="21"/>
      <c r="D107" s="21"/>
      <c r="E107" s="21"/>
    </row>
    <row r="108" spans="1:5" ht="15.75" customHeight="1">
      <c r="A108" s="21"/>
      <c r="B108" s="21"/>
      <c r="C108" s="21"/>
      <c r="D108" s="21"/>
      <c r="E108" s="21"/>
    </row>
    <row r="109" spans="1:5" ht="15.75" customHeight="1">
      <c r="A109" s="21"/>
      <c r="B109" s="21"/>
      <c r="C109" s="21"/>
      <c r="D109" s="21"/>
      <c r="E109" s="21"/>
    </row>
    <row r="110" spans="1:5" ht="15.75" customHeight="1">
      <c r="A110" s="21"/>
      <c r="B110" s="21"/>
      <c r="C110" s="21"/>
      <c r="D110" s="21"/>
      <c r="E110" s="21"/>
    </row>
    <row r="111" spans="1:5" ht="15.75" customHeight="1">
      <c r="A111" s="21"/>
      <c r="B111" s="21"/>
      <c r="C111" s="21"/>
      <c r="D111" s="21"/>
      <c r="E111" s="21"/>
    </row>
    <row r="112" spans="1:5" ht="15.75" customHeight="1">
      <c r="A112" s="21"/>
      <c r="B112" s="83"/>
      <c r="C112" s="83"/>
      <c r="D112" s="83"/>
      <c r="E112" s="83"/>
    </row>
    <row r="113" spans="1:5" ht="15.75" customHeight="1">
      <c r="A113" s="21"/>
      <c r="B113" s="21"/>
      <c r="C113" s="21"/>
      <c r="D113" s="21"/>
      <c r="E113" s="21"/>
    </row>
    <row r="114" spans="1:5" ht="15.75" customHeight="1">
      <c r="A114" s="21"/>
      <c r="B114" s="21"/>
      <c r="C114" s="21"/>
      <c r="D114" s="21"/>
      <c r="E114" s="21"/>
    </row>
    <row r="115" spans="1:5" ht="15.75" customHeight="1">
      <c r="A115" s="21"/>
      <c r="B115" s="21"/>
      <c r="C115" s="21"/>
      <c r="D115" s="21"/>
      <c r="E115" s="21"/>
    </row>
    <row r="116" spans="1:5" ht="15.75" customHeight="1">
      <c r="A116" s="21"/>
      <c r="B116" s="21"/>
      <c r="C116" s="21"/>
      <c r="D116" s="21"/>
      <c r="E116" s="21"/>
    </row>
    <row r="117" spans="1:5" ht="15.75" customHeight="1">
      <c r="A117" s="21"/>
      <c r="B117" s="21"/>
      <c r="C117" s="21"/>
      <c r="D117" s="21"/>
      <c r="E117" s="21"/>
    </row>
    <row r="118" spans="1:5" ht="15.75" customHeight="1">
      <c r="A118" s="21"/>
      <c r="B118" s="21"/>
      <c r="C118" s="21"/>
      <c r="D118" s="21"/>
      <c r="E118" s="21"/>
    </row>
    <row r="119" spans="1:5" ht="15.75" customHeight="1">
      <c r="A119" s="21"/>
      <c r="B119" s="21"/>
      <c r="C119" s="21"/>
      <c r="D119" s="21"/>
      <c r="E119" s="21"/>
    </row>
    <row r="120" spans="1:5" ht="15.75" customHeight="1"/>
    <row r="121" spans="1:5" ht="15.75" customHeight="1">
      <c r="A121" s="21"/>
      <c r="B121" s="21"/>
      <c r="C121" s="21"/>
      <c r="D121" s="21"/>
      <c r="E121" s="21"/>
    </row>
    <row r="122" spans="1:5" ht="15.75" customHeight="1">
      <c r="A122" s="21"/>
      <c r="B122" s="21"/>
      <c r="C122" s="21"/>
      <c r="D122" s="21"/>
      <c r="E122" s="21"/>
    </row>
    <row r="123" spans="1:5" ht="15.75" customHeight="1">
      <c r="A123" s="21"/>
      <c r="B123" s="21"/>
      <c r="C123" s="21"/>
      <c r="D123" s="21"/>
      <c r="E123" s="21"/>
    </row>
    <row r="124" spans="1:5" ht="15.75" customHeight="1">
      <c r="A124" s="21"/>
      <c r="B124" s="21"/>
      <c r="C124" s="21"/>
      <c r="D124" s="21"/>
      <c r="E124" s="21"/>
    </row>
    <row r="125" spans="1:5" ht="15.75" customHeight="1">
      <c r="A125" s="21"/>
      <c r="B125" s="21"/>
      <c r="C125" s="21"/>
      <c r="D125" s="21"/>
      <c r="E125" s="21"/>
    </row>
    <row r="126" spans="1:5" ht="15.75" customHeight="1">
      <c r="A126" s="21"/>
      <c r="B126" s="21"/>
      <c r="C126" s="21"/>
      <c r="D126" s="21"/>
      <c r="E126" s="21"/>
    </row>
    <row r="127" spans="1:5" ht="15.75" customHeight="1">
      <c r="A127" s="21"/>
      <c r="B127" s="21"/>
      <c r="C127" s="21"/>
      <c r="D127" s="21"/>
      <c r="E127" s="21"/>
    </row>
    <row r="128" spans="1:5" ht="15.75" customHeight="1">
      <c r="A128" s="21"/>
      <c r="B128" s="21"/>
      <c r="C128" s="21"/>
      <c r="D128" s="21"/>
      <c r="E128" s="21"/>
    </row>
    <row r="129" spans="1:5" ht="15.75" customHeight="1">
      <c r="A129" s="21"/>
      <c r="B129" s="21"/>
      <c r="C129" s="21"/>
      <c r="D129" s="21"/>
      <c r="E129" s="21"/>
    </row>
    <row r="130" spans="1:5" ht="15.75" customHeight="1">
      <c r="A130" s="21"/>
      <c r="B130" s="21"/>
      <c r="C130" s="21"/>
      <c r="D130" s="21"/>
      <c r="E130" s="21"/>
    </row>
    <row r="131" spans="1:5" ht="15.75" customHeight="1">
      <c r="A131" s="21"/>
      <c r="B131" s="21"/>
      <c r="C131" s="21"/>
      <c r="D131" s="21"/>
      <c r="E131" s="21"/>
    </row>
    <row r="132" spans="1:5" ht="15.75" customHeight="1">
      <c r="A132" s="21"/>
      <c r="B132" s="21"/>
      <c r="C132" s="21"/>
      <c r="D132" s="21"/>
      <c r="E132" s="21"/>
    </row>
    <row r="133" spans="1:5" ht="15.75" customHeight="1">
      <c r="A133" s="21"/>
      <c r="B133" s="21"/>
      <c r="C133" s="21"/>
      <c r="D133" s="21"/>
      <c r="E133" s="21"/>
    </row>
    <row r="134" spans="1:5" ht="15.75" customHeight="1">
      <c r="A134" s="21"/>
      <c r="B134" s="21"/>
      <c r="C134" s="21"/>
      <c r="D134" s="21"/>
      <c r="E134" s="21"/>
    </row>
    <row r="135" spans="1:5" ht="15.75" customHeight="1">
      <c r="A135" s="21"/>
      <c r="B135" s="21"/>
      <c r="C135" s="21"/>
      <c r="D135" s="21"/>
      <c r="E135" s="21"/>
    </row>
    <row r="136" spans="1:5" ht="15.75" customHeight="1">
      <c r="A136" s="21"/>
      <c r="B136" s="21"/>
      <c r="C136" s="21"/>
      <c r="D136" s="21"/>
      <c r="E136" s="21"/>
    </row>
    <row r="137" spans="1:5" ht="15.75" customHeight="1">
      <c r="A137" s="21"/>
      <c r="B137" s="21"/>
      <c r="C137" s="21"/>
      <c r="D137" s="21"/>
      <c r="E137" s="21"/>
    </row>
    <row r="138" spans="1:5" ht="15.75" customHeight="1">
      <c r="A138" s="21"/>
      <c r="B138" s="21"/>
      <c r="C138" s="21"/>
      <c r="D138" s="21"/>
      <c r="E138" s="21"/>
    </row>
    <row r="139" spans="1:5" ht="15.75" customHeight="1">
      <c r="A139" s="21"/>
      <c r="B139" s="21"/>
      <c r="C139" s="21"/>
      <c r="D139" s="21"/>
      <c r="E139" s="21"/>
    </row>
    <row r="140" spans="1:5" ht="15.75" customHeight="1">
      <c r="A140" s="21"/>
      <c r="B140" s="21"/>
      <c r="C140" s="21"/>
      <c r="D140" s="21"/>
      <c r="E140" s="21"/>
    </row>
    <row r="141" spans="1:5" ht="15.75" customHeight="1">
      <c r="A141" s="21"/>
      <c r="B141" s="21"/>
      <c r="C141" s="21"/>
      <c r="D141" s="21"/>
      <c r="E141" s="21"/>
    </row>
    <row r="142" spans="1:5" ht="15.75" customHeight="1">
      <c r="A142" s="21"/>
      <c r="B142" s="21"/>
      <c r="C142" s="21"/>
      <c r="D142" s="21"/>
      <c r="E142" s="21"/>
    </row>
    <row r="143" spans="1:5" ht="15.75" customHeight="1">
      <c r="A143" s="21"/>
      <c r="B143" s="21"/>
      <c r="C143" s="21"/>
      <c r="D143" s="21"/>
      <c r="E143" s="21"/>
    </row>
    <row r="144" spans="1:5" ht="15.75" customHeight="1">
      <c r="A144" s="21"/>
      <c r="B144" s="21"/>
      <c r="C144" s="21"/>
      <c r="D144" s="21"/>
      <c r="E144" s="21"/>
    </row>
    <row r="145" spans="1:5" ht="15.75" customHeight="1">
      <c r="A145" s="21"/>
      <c r="B145" s="21"/>
      <c r="C145" s="21"/>
      <c r="D145" s="21"/>
      <c r="E145" s="21"/>
    </row>
    <row r="146" spans="1:5" ht="15.75" customHeight="1">
      <c r="A146" s="21"/>
      <c r="B146" s="21"/>
      <c r="C146" s="21"/>
      <c r="D146" s="21"/>
      <c r="E146" s="21"/>
    </row>
    <row r="147" spans="1:5" ht="15.75" customHeight="1">
      <c r="A147" s="21"/>
      <c r="B147" s="21"/>
      <c r="C147" s="21"/>
      <c r="D147" s="21"/>
      <c r="E147" s="21"/>
    </row>
    <row r="148" spans="1:5" ht="15.75" customHeight="1">
      <c r="A148" s="21"/>
      <c r="B148" s="21"/>
      <c r="C148" s="21"/>
      <c r="D148" s="21"/>
      <c r="E148" s="21"/>
    </row>
    <row r="149" spans="1:5" ht="15.75" customHeight="1">
      <c r="A149" s="21"/>
      <c r="B149" s="21"/>
      <c r="C149" s="21"/>
      <c r="D149" s="21"/>
      <c r="E149" s="21"/>
    </row>
    <row r="150" spans="1:5" ht="15.75" customHeight="1">
      <c r="A150" s="21"/>
      <c r="B150" s="21"/>
      <c r="C150" s="21"/>
      <c r="D150" s="21"/>
      <c r="E150" s="21"/>
    </row>
    <row r="151" spans="1:5" ht="15.75" customHeight="1">
      <c r="A151" s="21"/>
      <c r="B151" s="21"/>
      <c r="C151" s="21"/>
      <c r="D151" s="21"/>
      <c r="E151" s="21"/>
    </row>
    <row r="152" spans="1:5" ht="15.75" customHeight="1">
      <c r="A152" s="21"/>
      <c r="B152" s="21"/>
      <c r="C152" s="21"/>
      <c r="D152" s="21"/>
      <c r="E152" s="21"/>
    </row>
    <row r="153" spans="1:5" ht="15.75" customHeight="1">
      <c r="A153" s="21"/>
      <c r="B153" s="21"/>
      <c r="C153" s="21"/>
      <c r="D153" s="21"/>
      <c r="E153" s="21"/>
    </row>
    <row r="154" spans="1:5" ht="15.75" customHeight="1">
      <c r="A154" s="21"/>
      <c r="B154" s="21"/>
      <c r="C154" s="21"/>
      <c r="D154" s="21"/>
      <c r="E154" s="21"/>
    </row>
    <row r="155" spans="1:5" ht="15.75" customHeight="1">
      <c r="A155" s="21"/>
      <c r="B155" s="21"/>
      <c r="C155" s="21"/>
      <c r="D155" s="21"/>
      <c r="E155" s="21"/>
    </row>
    <row r="156" spans="1:5" ht="15.75" customHeight="1">
      <c r="A156" s="21"/>
      <c r="B156" s="21"/>
      <c r="C156" s="21"/>
      <c r="D156" s="21"/>
      <c r="E156" s="21"/>
    </row>
    <row r="157" spans="1:5" ht="15.75" customHeight="1">
      <c r="A157" s="21"/>
      <c r="B157" s="21"/>
      <c r="C157" s="21"/>
      <c r="D157" s="21"/>
      <c r="E157" s="21"/>
    </row>
    <row r="158" spans="1:5" ht="15.75" customHeight="1">
      <c r="A158" s="21"/>
      <c r="B158" s="21"/>
      <c r="C158" s="21"/>
      <c r="D158" s="21"/>
      <c r="E158" s="21"/>
    </row>
    <row r="159" spans="1:5" ht="15.75" customHeight="1">
      <c r="A159" s="21"/>
      <c r="B159" s="21"/>
      <c r="C159" s="21"/>
      <c r="D159" s="21"/>
      <c r="E159" s="21"/>
    </row>
    <row r="160" spans="1:5" ht="15.75" customHeight="1">
      <c r="A160" s="21"/>
      <c r="B160" s="21"/>
      <c r="C160" s="21"/>
      <c r="D160" s="21"/>
      <c r="E160" s="21"/>
    </row>
    <row r="161" spans="1:5" ht="15.75" customHeight="1">
      <c r="A161" s="21"/>
      <c r="B161" s="21"/>
      <c r="C161" s="21"/>
      <c r="D161" s="21"/>
      <c r="E161" s="21"/>
    </row>
    <row r="162" spans="1:5" ht="15.75" customHeight="1">
      <c r="A162" s="21"/>
      <c r="B162" s="21"/>
      <c r="C162" s="21"/>
      <c r="D162" s="21"/>
      <c r="E162" s="21"/>
    </row>
    <row r="163" spans="1:5" ht="15.75" customHeight="1">
      <c r="A163" s="21"/>
      <c r="B163" s="21"/>
      <c r="C163" s="21"/>
      <c r="D163" s="21"/>
      <c r="E163" s="21"/>
    </row>
    <row r="164" spans="1:5" ht="15.75" customHeight="1">
      <c r="A164" s="21"/>
      <c r="B164" s="21"/>
      <c r="C164" s="21"/>
      <c r="D164" s="21"/>
      <c r="E164" s="21"/>
    </row>
    <row r="165" spans="1:5" ht="15.75" customHeight="1"/>
    <row r="166" spans="1:5" ht="15.75" customHeight="1"/>
    <row r="167" spans="1:5" ht="15.75" customHeight="1"/>
    <row r="168" spans="1:5" ht="15.75" customHeight="1"/>
    <row r="169" spans="1:5" ht="15.75" customHeight="1"/>
    <row r="170" spans="1:5" ht="15.75" customHeight="1"/>
    <row r="171" spans="1:5" ht="15.75" customHeight="1"/>
    <row r="172" spans="1:5" ht="15.75" customHeight="1"/>
    <row r="173" spans="1:5" ht="15.75" customHeight="1"/>
    <row r="174" spans="1:5" ht="15.75" customHeight="1"/>
    <row r="175" spans="1:5" ht="15.75" customHeight="1"/>
    <row r="176" spans="1:5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Frontsheet</vt:lpstr>
      <vt:lpstr>Business Model</vt:lpstr>
      <vt:lpstr>Cap Table</vt:lpstr>
      <vt:lpstr>Summary BP</vt:lpstr>
      <vt:lpstr>Business Plan Detailed</vt:lpstr>
      <vt:lpstr>HMB</vt:lpstr>
      <vt:lpstr>Headcount Cost Assumptions</vt:lpstr>
      <vt:lpstr>Frontsheet!Print_Area</vt:lpstr>
      <vt:lpstr>'Summary BP'!Print_Area</vt:lpstr>
    </vt:vector>
  </TitlesOfParts>
  <Company>KH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Pereira, Amaru (GAM)</dc:creator>
  <cp:lastModifiedBy>Alberto González García</cp:lastModifiedBy>
  <dcterms:created xsi:type="dcterms:W3CDTF">2024-03-23T10:11:15Z</dcterms:created>
  <dcterms:modified xsi:type="dcterms:W3CDTF">2024-04-13T09:39:47Z</dcterms:modified>
</cp:coreProperties>
</file>